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sinclair\Desktop\"/>
    </mc:Choice>
  </mc:AlternateContent>
  <bookViews>
    <workbookView xWindow="0" yWindow="0" windowWidth="23745" windowHeight="10980" tabRatio="703" firstSheet="8" activeTab="8"/>
  </bookViews>
  <sheets>
    <sheet name="Query Data" sheetId="3" state="hidden" r:id="rId1"/>
    <sheet name="Categorical Data" sheetId="36" state="hidden" r:id="rId2"/>
    <sheet name="Revenues" sheetId="40" state="hidden" r:id="rId3"/>
    <sheet name="Expenditures" sheetId="41" state="hidden" r:id="rId4"/>
    <sheet name="Balances" sheetId="42" state="hidden" r:id="rId5"/>
    <sheet name="Admin2" sheetId="32" state="hidden" r:id="rId6"/>
    <sheet name="Scenario Assumptions" sheetId="2" state="hidden" r:id="rId7"/>
    <sheet name="10H" sheetId="27" state="hidden" r:id="rId8"/>
    <sheet name="10P" sheetId="1" r:id="rId9"/>
    <sheet name="MAJOR CAT. BALANCES" sheetId="35" r:id="rId10"/>
    <sheet name="MISC REVENUE" sheetId="34" r:id="rId11"/>
    <sheet name="TaxRates" sheetId="20" r:id="rId12"/>
    <sheet name="UAB" sheetId="21" r:id="rId13"/>
    <sheet name="Enrollment Certified" sheetId="22" r:id="rId14"/>
    <sheet name="Key Assumptions" sheetId="24" r:id="rId15"/>
    <sheet name="Key Results" sheetId="23" r:id="rId16"/>
    <sheet name="Solvency" sheetId="25" r:id="rId17"/>
    <sheet name="Solvency Historical Data" sheetId="31" state="hidden" r:id="rId18"/>
    <sheet name="Tax Rate 12 to 15" sheetId="33" state="hidden" r:id="rId19"/>
  </sheets>
  <definedNames>
    <definedName name="___metadata">Admin2!$A$2:$C$45</definedName>
    <definedName name="__assumptions">'Scenario Assumptions'!$B$9</definedName>
    <definedName name="__author">'Scenario Assumptions'!$C$3</definedName>
    <definedName name="__client_name">'Scenario Assumptions'!$D$5</definedName>
    <definedName name="__date_created">'Scenario Assumptions'!$C$4</definedName>
    <definedName name="__scenario_name">'Scenario Assumptions'!$C$2</definedName>
    <definedName name="BalFundRollup">Balances!$Y$3:$Y$50</definedName>
    <definedName name="BalIndex">Balances!$AB$3:$AR$50</definedName>
    <definedName name="BalPeriod">Balances!$AB$2:$AR$2</definedName>
    <definedName name="ExpFundRollup">Expenditures!$X$3:$X$500</definedName>
    <definedName name="ExpIndex">Expenditures!$AC$3:$AR$500</definedName>
    <definedName name="ExpObject">Expenditures!$Y$3:$Y$500</definedName>
    <definedName name="ExpPeriod">Expenditures!$AC$2:$AR$2</definedName>
    <definedName name="in_aid_levy1">Admin2!$A$227</definedName>
    <definedName name="in_authorized_budget_areas1">Admin2!$A$291</definedName>
    <definedName name="in_enroll_change">Admin2!$A$200</definedName>
    <definedName name="in_enrollment_figures">Admin2!$A$211</definedName>
    <definedName name="in_fte_change">Admin2!$A$350</definedName>
    <definedName name="in_isl_educational_improvement">Admin2!$A$240</definedName>
    <definedName name="in_other_aid">Admin2!$A$311</definedName>
    <definedName name="in_rates">Admin2!$A$278</definedName>
    <definedName name="in_retirement_savings">Admin2!$A$364</definedName>
    <definedName name="in_solvency">Admin2!$A$305</definedName>
    <definedName name="in_year_starting_tlc">Admin2!$A$236</definedName>
    <definedName name="out_al_2016">Admin2!$B$501</definedName>
    <definedName name="out_al_2017">Admin2!$E$501</definedName>
    <definedName name="out_al_2018">Admin2!$H$501</definedName>
    <definedName name="out_al_2019">Admin2!$K$501</definedName>
    <definedName name="out_al_2020">Admin2!$N$501</definedName>
    <definedName name="out_al_2021">Admin2!$Q$501</definedName>
    <definedName name="out_al_2022">Admin2!$T$501</definedName>
    <definedName name="out_al_2023">Admin2!$W$501</definedName>
    <definedName name="out_allowable_growth_dropout">Admin2!$A$232</definedName>
    <definedName name="out_authorized_budget_areas2">Admin2!$A$301</definedName>
    <definedName name="out_bindings_general_fund_bindings">Admin2!$AA$54</definedName>
    <definedName name="out_isl_educational_improvement">Admin2!$A$316</definedName>
    <definedName name="out_positive">Admin2!$A$272</definedName>
    <definedName name="out_rates">Admin2!$A$335</definedName>
    <definedName name="out_report_certified_enrollment">Admin2!$A$184</definedName>
    <definedName name="out_report_fund_balances">Admin2!$A$97</definedName>
    <definedName name="out_report_key_assumptions">Admin2!$A$50</definedName>
    <definedName name="out_report_rates_1">Admin2!$A$89</definedName>
    <definedName name="out_report_served_enrollment">Admin2!$A$189</definedName>
    <definedName name="out_report_solvency_ratio_summary">Admin2!$A$175</definedName>
    <definedName name="out_report_solvency_ratios">Admin2!$A$130</definedName>
    <definedName name="out_report_staffing_changes">Admin2!$A$75</definedName>
    <definedName name="out_report_surtax_rates">Admin2!$A$118</definedName>
    <definedName name="out_report_tax_rate_dollars">Admin2!$A$194</definedName>
    <definedName name="out_report_tax_rates">Admin2!$A$108</definedName>
    <definedName name="out_report_uab">Admin2!$A$136</definedName>
    <definedName name="out_report_uab_changes">Admin2!$A$123</definedName>
    <definedName name="out_served_enrollment">Admin2!$A$208</definedName>
    <definedName name="out_tlc_calc">Admin2!$Z$45</definedName>
    <definedName name="out_total_certified">Admin2!$A$206</definedName>
    <definedName name="_xlnm.Print_Area" localSheetId="7">'10H'!$B$2:$N$33,'10H'!$B$36:$N$76</definedName>
    <definedName name="_xlnm.Print_Area" localSheetId="8">'10P'!$B$2:$N$33,'10P'!$B$36:$N$76</definedName>
    <definedName name="_xlnm.Print_Area" localSheetId="13">'Enrollment Certified'!$B$2:$O$32</definedName>
    <definedName name="_xlnm.Print_Area" localSheetId="14">'Key Assumptions'!$B$2:$I$56</definedName>
    <definedName name="_xlnm.Print_Area" localSheetId="15">'Key Results'!$B$2:$I$42</definedName>
    <definedName name="_xlnm.Print_Area" localSheetId="9">'MAJOR CAT. BALANCES'!$B$2:$K$14</definedName>
    <definedName name="_xlnm.Print_Area" localSheetId="10">'MISC REVENUE'!$B$2:$K$33,'MISC REVENUE'!$B$35:$K$78</definedName>
    <definedName name="_xlnm.Print_Area" localSheetId="16">Solvency!$B$2:$N$14,Solvency!$B$18:$N$47</definedName>
    <definedName name="_xlnm.Print_Area" localSheetId="11">TaxRates!$B$2:$N$33,TaxRates!$B$38:$N$85</definedName>
    <definedName name="_xlnm.Print_Area" localSheetId="12">UAB!$B$2:$N$44</definedName>
    <definedName name="_xlnm.Print_Titles" localSheetId="7">'10H'!$2:$3</definedName>
    <definedName name="_xlnm.Print_Titles" localSheetId="8">'10P'!$2:$3</definedName>
    <definedName name="_xlnm.Print_Titles" localSheetId="13">'Enrollment Certified'!$2:$3</definedName>
    <definedName name="_xlnm.Print_Titles" localSheetId="10">'MISC REVENUE'!$2:$3</definedName>
    <definedName name="_xlnm.Print_Titles" localSheetId="16">Solvency!$2:$3</definedName>
    <definedName name="_xlnm.Print_Titles" localSheetId="11">TaxRates!$2:$3</definedName>
    <definedName name="RevDetailSource">Revenues!$W$3:$W$500</definedName>
    <definedName name="RevFundRollup">Revenues!$X$3:$X$500</definedName>
    <definedName name="RevIndex">Revenues!$AC$3:$AR$500</definedName>
    <definedName name="RevMiscRev">Revenues!$V$3:$V$500</definedName>
    <definedName name="RevPeriod">Revenues!$AC$2:$AR$2</definedName>
    <definedName name="RevSource">Revenues!$Y$3:$Y$500</definedName>
    <definedName name="RevSubSource">Revenues!$U$3:$U$500</definedName>
    <definedName name="xlsx_Aggregate_Balances">Balances!$AA$2</definedName>
    <definedName name="xlsx_Aggregate_Expenditures">Expenditures!$AA$2</definedName>
    <definedName name="xlsx_Aggregate_Revenue">Revenues!$AA$2</definedName>
    <definedName name="xlsx_Categorical_Projects">'Categorical Data'!$AA$400</definedName>
    <definedName name="xlsx_Categorical_Sources">'Categorical Data'!$B$400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0" l="1"/>
  <c r="L28" i="20"/>
  <c r="K28" i="20"/>
  <c r="J28" i="20"/>
  <c r="I28" i="20"/>
  <c r="H28" i="20"/>
  <c r="M25" i="20"/>
  <c r="L25" i="20"/>
  <c r="K25" i="20"/>
  <c r="J25" i="20"/>
  <c r="I25" i="20"/>
  <c r="H25" i="20"/>
  <c r="M22" i="20"/>
  <c r="L22" i="20"/>
  <c r="K22" i="20"/>
  <c r="J22" i="20"/>
  <c r="I22" i="20"/>
  <c r="H22" i="20"/>
  <c r="D38" i="21" l="1"/>
  <c r="D41" i="21" l="1"/>
  <c r="Y4" i="41" l="1"/>
  <c r="Y5" i="41"/>
  <c r="Y6" i="41"/>
  <c r="Y7" i="41"/>
  <c r="Y8" i="41"/>
  <c r="Y9" i="41"/>
  <c r="Y10" i="41"/>
  <c r="Y11" i="41"/>
  <c r="Y12" i="41"/>
  <c r="Y13" i="41"/>
  <c r="Y14" i="41"/>
  <c r="Y15" i="41"/>
  <c r="Y16" i="41"/>
  <c r="Y17" i="41"/>
  <c r="Y18" i="41"/>
  <c r="Y19" i="41"/>
  <c r="Y20" i="41"/>
  <c r="Y21" i="41"/>
  <c r="Y22" i="41"/>
  <c r="Y23" i="41"/>
  <c r="Y24" i="41"/>
  <c r="Y25" i="41"/>
  <c r="Y26" i="41"/>
  <c r="Y27" i="41"/>
  <c r="Y28" i="41"/>
  <c r="Y29" i="41"/>
  <c r="Y30" i="41"/>
  <c r="Y31" i="41"/>
  <c r="Y32" i="41"/>
  <c r="Y33" i="41"/>
  <c r="Y34" i="41"/>
  <c r="Y35" i="41"/>
  <c r="Y36" i="41"/>
  <c r="Y37" i="41"/>
  <c r="Y38" i="41"/>
  <c r="Y39" i="41"/>
  <c r="Y40" i="41"/>
  <c r="Y41" i="41"/>
  <c r="Y42" i="41"/>
  <c r="Y43" i="41"/>
  <c r="Y44" i="41"/>
  <c r="Y45" i="41"/>
  <c r="Y46" i="41"/>
  <c r="Y47" i="41"/>
  <c r="Y48" i="41"/>
  <c r="Y49" i="41"/>
  <c r="Y50" i="41"/>
  <c r="Y51" i="41"/>
  <c r="Y52" i="41"/>
  <c r="Y53" i="41"/>
  <c r="Y54" i="41"/>
  <c r="Y55" i="41"/>
  <c r="Y56" i="41"/>
  <c r="Y57" i="41"/>
  <c r="Y58" i="41"/>
  <c r="Y59" i="41"/>
  <c r="Y60" i="41"/>
  <c r="Y61" i="41"/>
  <c r="Y62" i="41"/>
  <c r="Y63" i="41"/>
  <c r="Y64" i="41"/>
  <c r="Y65" i="41"/>
  <c r="Y66" i="41"/>
  <c r="Y67" i="41"/>
  <c r="Y68" i="41"/>
  <c r="Y69" i="41"/>
  <c r="Y70" i="41"/>
  <c r="Y71" i="41"/>
  <c r="Y72" i="41"/>
  <c r="Y73" i="41"/>
  <c r="Y74" i="41"/>
  <c r="Y75" i="41"/>
  <c r="Y76" i="41"/>
  <c r="Y77" i="41"/>
  <c r="Y78" i="41"/>
  <c r="Y79" i="41"/>
  <c r="Y80" i="41"/>
  <c r="Y81" i="41"/>
  <c r="Y82" i="41"/>
  <c r="Y83" i="41"/>
  <c r="Y84" i="41"/>
  <c r="Y85" i="41"/>
  <c r="Y86" i="41"/>
  <c r="Y87" i="41"/>
  <c r="Y88" i="41"/>
  <c r="Y89" i="41"/>
  <c r="Y90" i="41"/>
  <c r="Y91" i="41"/>
  <c r="Y92" i="41"/>
  <c r="Y93" i="41"/>
  <c r="Y94" i="41"/>
  <c r="Y95" i="41"/>
  <c r="Y96" i="41"/>
  <c r="Y97" i="41"/>
  <c r="Y98" i="41"/>
  <c r="Y99" i="41"/>
  <c r="Y100" i="41"/>
  <c r="Y101" i="41"/>
  <c r="Y102" i="41"/>
  <c r="Y103" i="41"/>
  <c r="Y104" i="41"/>
  <c r="Y105" i="41"/>
  <c r="Y106" i="41"/>
  <c r="Y107" i="41"/>
  <c r="Y108" i="41"/>
  <c r="Y109" i="41"/>
  <c r="Y110" i="41"/>
  <c r="Y111" i="41"/>
  <c r="Y112" i="41"/>
  <c r="Y113" i="41"/>
  <c r="Y114" i="41"/>
  <c r="Y115" i="41"/>
  <c r="Y116" i="41"/>
  <c r="Y117" i="41"/>
  <c r="Y118" i="41"/>
  <c r="Y119" i="41"/>
  <c r="Y120" i="41"/>
  <c r="Y121" i="41"/>
  <c r="Y122" i="41"/>
  <c r="Y123" i="41"/>
  <c r="Y124" i="41"/>
  <c r="Y125" i="41"/>
  <c r="Y126" i="41"/>
  <c r="Y127" i="41"/>
  <c r="Y128" i="41"/>
  <c r="Y129" i="41"/>
  <c r="Y130" i="41"/>
  <c r="Y131" i="41"/>
  <c r="Y132" i="41"/>
  <c r="Y133" i="41"/>
  <c r="Y134" i="41"/>
  <c r="Y135" i="41"/>
  <c r="Y136" i="41"/>
  <c r="Y137" i="41"/>
  <c r="Y138" i="41"/>
  <c r="Y139" i="41"/>
  <c r="Y140" i="41"/>
  <c r="Y141" i="41"/>
  <c r="Y142" i="41"/>
  <c r="Y143" i="41"/>
  <c r="Y144" i="41"/>
  <c r="Y145" i="41"/>
  <c r="Y146" i="41"/>
  <c r="Y147" i="41"/>
  <c r="Y148" i="41"/>
  <c r="Y149" i="41"/>
  <c r="Y150" i="41"/>
  <c r="Y151" i="41"/>
  <c r="Y152" i="41"/>
  <c r="Y153" i="41"/>
  <c r="Y154" i="41"/>
  <c r="Y155" i="41"/>
  <c r="Y156" i="41"/>
  <c r="Y157" i="41"/>
  <c r="Y158" i="41"/>
  <c r="Y159" i="41"/>
  <c r="Y160" i="41"/>
  <c r="Y161" i="41"/>
  <c r="Y162" i="41"/>
  <c r="Y163" i="41"/>
  <c r="Y164" i="41"/>
  <c r="Y165" i="41"/>
  <c r="Y166" i="41"/>
  <c r="Y167" i="41"/>
  <c r="Y168" i="41"/>
  <c r="Y169" i="41"/>
  <c r="Y170" i="41"/>
  <c r="Y171" i="41"/>
  <c r="Y172" i="41"/>
  <c r="Y173" i="41"/>
  <c r="Y174" i="41"/>
  <c r="Y175" i="41"/>
  <c r="Y176" i="41"/>
  <c r="Y177" i="41"/>
  <c r="Y178" i="41"/>
  <c r="Y179" i="41"/>
  <c r="Y180" i="41"/>
  <c r="Y181" i="41"/>
  <c r="Y182" i="41"/>
  <c r="Y183" i="41"/>
  <c r="Y184" i="41"/>
  <c r="Y185" i="41"/>
  <c r="Y186" i="41"/>
  <c r="Y187" i="41"/>
  <c r="Y188" i="41"/>
  <c r="Y189" i="41"/>
  <c r="Y190" i="41"/>
  <c r="Y191" i="41"/>
  <c r="Y192" i="41"/>
  <c r="Y193" i="41"/>
  <c r="Y194" i="41"/>
  <c r="Y195" i="41"/>
  <c r="Y196" i="41"/>
  <c r="Y197" i="41"/>
  <c r="Y198" i="41"/>
  <c r="Y199" i="41"/>
  <c r="Y200" i="41"/>
  <c r="Y201" i="41"/>
  <c r="Y202" i="41"/>
  <c r="Y203" i="41"/>
  <c r="Y204" i="41"/>
  <c r="Y205" i="41"/>
  <c r="Y206" i="41"/>
  <c r="Y207" i="41"/>
  <c r="Y208" i="41"/>
  <c r="Y209" i="41"/>
  <c r="Y210" i="41"/>
  <c r="Y211" i="41"/>
  <c r="Y212" i="41"/>
  <c r="Y213" i="41"/>
  <c r="Y214" i="41"/>
  <c r="Y215" i="41"/>
  <c r="Y216" i="41"/>
  <c r="Y217" i="41"/>
  <c r="Y218" i="41"/>
  <c r="Y219" i="41"/>
  <c r="Y220" i="41"/>
  <c r="Y221" i="41"/>
  <c r="Y222" i="41"/>
  <c r="Y223" i="41"/>
  <c r="Y224" i="41"/>
  <c r="Y225" i="41"/>
  <c r="Y226" i="41"/>
  <c r="Y227" i="41"/>
  <c r="Y228" i="41"/>
  <c r="Y229" i="41"/>
  <c r="Y230" i="41"/>
  <c r="Y231" i="41"/>
  <c r="Y232" i="41"/>
  <c r="Y233" i="41"/>
  <c r="Y234" i="41"/>
  <c r="Y235" i="41"/>
  <c r="Y236" i="41"/>
  <c r="Y237" i="41"/>
  <c r="Y238" i="41"/>
  <c r="Y239" i="41"/>
  <c r="Y240" i="41"/>
  <c r="Y241" i="41"/>
  <c r="Y242" i="41"/>
  <c r="Y243" i="41"/>
  <c r="Y244" i="41"/>
  <c r="Y245" i="41"/>
  <c r="Y246" i="41"/>
  <c r="Y247" i="41"/>
  <c r="Y248" i="41"/>
  <c r="Y249" i="41"/>
  <c r="Y250" i="41"/>
  <c r="Y251" i="41"/>
  <c r="Y252" i="41"/>
  <c r="Y253" i="41"/>
  <c r="Y254" i="41"/>
  <c r="Y255" i="41"/>
  <c r="Y256" i="41"/>
  <c r="Y257" i="41"/>
  <c r="Y258" i="41"/>
  <c r="Y259" i="41"/>
  <c r="Y260" i="41"/>
  <c r="Y261" i="41"/>
  <c r="Y262" i="41"/>
  <c r="Y263" i="41"/>
  <c r="Y264" i="41"/>
  <c r="Y265" i="41"/>
  <c r="Y266" i="41"/>
  <c r="Y267" i="41"/>
  <c r="Y268" i="41"/>
  <c r="Y269" i="41"/>
  <c r="Y270" i="41"/>
  <c r="Y271" i="41"/>
  <c r="Y272" i="41"/>
  <c r="Y273" i="41"/>
  <c r="Y274" i="41"/>
  <c r="Y275" i="41"/>
  <c r="Y276" i="41"/>
  <c r="Y277" i="41"/>
  <c r="Y278" i="41"/>
  <c r="Y279" i="41"/>
  <c r="Y280" i="41"/>
  <c r="Y281" i="41"/>
  <c r="Y282" i="41"/>
  <c r="Y283" i="41"/>
  <c r="Y284" i="41"/>
  <c r="Y285" i="41"/>
  <c r="Y286" i="41"/>
  <c r="Y287" i="41"/>
  <c r="Y288" i="41"/>
  <c r="Y289" i="41"/>
  <c r="Y290" i="41"/>
  <c r="Y291" i="41"/>
  <c r="Y292" i="41"/>
  <c r="Y293" i="41"/>
  <c r="Y294" i="41"/>
  <c r="Y295" i="41"/>
  <c r="Y296" i="41"/>
  <c r="Y297" i="41"/>
  <c r="Y298" i="41"/>
  <c r="Y299" i="41"/>
  <c r="Y300" i="41"/>
  <c r="Y301" i="41"/>
  <c r="Y302" i="41"/>
  <c r="Y303" i="41"/>
  <c r="Y304" i="41"/>
  <c r="Y305" i="41"/>
  <c r="Y306" i="41"/>
  <c r="Y307" i="41"/>
  <c r="Y308" i="41"/>
  <c r="Y309" i="41"/>
  <c r="Y310" i="41"/>
  <c r="Y311" i="41"/>
  <c r="Y312" i="41"/>
  <c r="Y313" i="41"/>
  <c r="Y314" i="41"/>
  <c r="Y315" i="41"/>
  <c r="Y316" i="41"/>
  <c r="Y317" i="41"/>
  <c r="Y318" i="41"/>
  <c r="Y319" i="41"/>
  <c r="Y320" i="41"/>
  <c r="Y321" i="41"/>
  <c r="Y322" i="41"/>
  <c r="Y323" i="41"/>
  <c r="Y324" i="41"/>
  <c r="Y325" i="41"/>
  <c r="Y326" i="41"/>
  <c r="Y327" i="41"/>
  <c r="Y328" i="41"/>
  <c r="Y329" i="41"/>
  <c r="Y330" i="41"/>
  <c r="Y331" i="41"/>
  <c r="Y332" i="41"/>
  <c r="Y333" i="41"/>
  <c r="Y334" i="41"/>
  <c r="Y335" i="41"/>
  <c r="Y336" i="41"/>
  <c r="Y337" i="41"/>
  <c r="Y338" i="41"/>
  <c r="Y339" i="41"/>
  <c r="Y340" i="41"/>
  <c r="Y341" i="41"/>
  <c r="Y342" i="41"/>
  <c r="Y343" i="41"/>
  <c r="Y344" i="41"/>
  <c r="Y345" i="41"/>
  <c r="Y346" i="41"/>
  <c r="Y347" i="41"/>
  <c r="Y348" i="41"/>
  <c r="Y349" i="41"/>
  <c r="Y350" i="41"/>
  <c r="Y351" i="41"/>
  <c r="Y352" i="41"/>
  <c r="Y353" i="41"/>
  <c r="Y354" i="41"/>
  <c r="Y355" i="41"/>
  <c r="Y356" i="41"/>
  <c r="Y357" i="41"/>
  <c r="Y358" i="41"/>
  <c r="Y359" i="41"/>
  <c r="Y360" i="41"/>
  <c r="Y361" i="41"/>
  <c r="Y362" i="41"/>
  <c r="Y363" i="41"/>
  <c r="Y364" i="41"/>
  <c r="Y365" i="41"/>
  <c r="Y366" i="41"/>
  <c r="Y367" i="41"/>
  <c r="Y368" i="41"/>
  <c r="Y369" i="41"/>
  <c r="Y370" i="41"/>
  <c r="Y371" i="41"/>
  <c r="Y372" i="41"/>
  <c r="Y373" i="41"/>
  <c r="Y374" i="41"/>
  <c r="Y375" i="41"/>
  <c r="Y376" i="41"/>
  <c r="Y377" i="41"/>
  <c r="Y378" i="41"/>
  <c r="Y379" i="41"/>
  <c r="Y380" i="41"/>
  <c r="Y381" i="41"/>
  <c r="Y382" i="41"/>
  <c r="Y383" i="41"/>
  <c r="Y384" i="41"/>
  <c r="Y385" i="41"/>
  <c r="Y386" i="41"/>
  <c r="Y387" i="41"/>
  <c r="Y388" i="41"/>
  <c r="Y389" i="41"/>
  <c r="Y390" i="41"/>
  <c r="Y391" i="41"/>
  <c r="Y392" i="41"/>
  <c r="Y393" i="41"/>
  <c r="Y394" i="41"/>
  <c r="Y395" i="41"/>
  <c r="Y396" i="41"/>
  <c r="Y397" i="41"/>
  <c r="Y398" i="41"/>
  <c r="Y399" i="41"/>
  <c r="Y400" i="41"/>
  <c r="Y401" i="41"/>
  <c r="Y402" i="41"/>
  <c r="Y403" i="41"/>
  <c r="Y404" i="41"/>
  <c r="Y405" i="41"/>
  <c r="Y406" i="41"/>
  <c r="Y407" i="41"/>
  <c r="Y408" i="41"/>
  <c r="Y409" i="41"/>
  <c r="Y410" i="41"/>
  <c r="Y411" i="41"/>
  <c r="Y412" i="41"/>
  <c r="Y413" i="41"/>
  <c r="Y414" i="41"/>
  <c r="Y415" i="41"/>
  <c r="Y416" i="41"/>
  <c r="Y417" i="41"/>
  <c r="Y418" i="41"/>
  <c r="Y419" i="41"/>
  <c r="Y420" i="41"/>
  <c r="Y421" i="41"/>
  <c r="Y422" i="41"/>
  <c r="Y423" i="41"/>
  <c r="Y424" i="41"/>
  <c r="Y425" i="41"/>
  <c r="Y426" i="41"/>
  <c r="Y427" i="41"/>
  <c r="Y428" i="41"/>
  <c r="Y429" i="41"/>
  <c r="Y430" i="41"/>
  <c r="Y431" i="41"/>
  <c r="Y432" i="41"/>
  <c r="Y433" i="41"/>
  <c r="Y434" i="41"/>
  <c r="Y435" i="41"/>
  <c r="Y436" i="41"/>
  <c r="Y437" i="41"/>
  <c r="Y438" i="41"/>
  <c r="Y439" i="41"/>
  <c r="Y440" i="41"/>
  <c r="Y441" i="41"/>
  <c r="Y442" i="41"/>
  <c r="Y443" i="41"/>
  <c r="Y444" i="41"/>
  <c r="Y445" i="41"/>
  <c r="Y446" i="41"/>
  <c r="Y447" i="41"/>
  <c r="Y448" i="41"/>
  <c r="Y449" i="41"/>
  <c r="Y450" i="41"/>
  <c r="Y451" i="41"/>
  <c r="Y452" i="41"/>
  <c r="Y453" i="41"/>
  <c r="Y454" i="41"/>
  <c r="Y455" i="41"/>
  <c r="Y456" i="41"/>
  <c r="Y457" i="41"/>
  <c r="Y458" i="41"/>
  <c r="Y459" i="41"/>
  <c r="Y460" i="41"/>
  <c r="Y461" i="41"/>
  <c r="Y462" i="41"/>
  <c r="Y463" i="41"/>
  <c r="Y464" i="41"/>
  <c r="Y465" i="41"/>
  <c r="Y466" i="41"/>
  <c r="Y467" i="41"/>
  <c r="Y468" i="41"/>
  <c r="Y469" i="41"/>
  <c r="Y470" i="41"/>
  <c r="Y471" i="41"/>
  <c r="Y472" i="41"/>
  <c r="Y473" i="41"/>
  <c r="Y474" i="41"/>
  <c r="Y475" i="41"/>
  <c r="Y476" i="41"/>
  <c r="Y477" i="41"/>
  <c r="Y478" i="41"/>
  <c r="Y479" i="41"/>
  <c r="Y480" i="41"/>
  <c r="Y481" i="41"/>
  <c r="Y482" i="41"/>
  <c r="Y483" i="41"/>
  <c r="Y484" i="41"/>
  <c r="Y485" i="41"/>
  <c r="Y486" i="41"/>
  <c r="Y487" i="41"/>
  <c r="Y488" i="41"/>
  <c r="Y489" i="41"/>
  <c r="Y490" i="41"/>
  <c r="Y491" i="41"/>
  <c r="Y492" i="41"/>
  <c r="Y493" i="41"/>
  <c r="Y494" i="41"/>
  <c r="Y495" i="41"/>
  <c r="Y496" i="41"/>
  <c r="Y497" i="41"/>
  <c r="Y498" i="41"/>
  <c r="Y499" i="41"/>
  <c r="Y500" i="41"/>
  <c r="Y3" i="41"/>
  <c r="AV4" i="31" l="1"/>
  <c r="AU4" i="31"/>
  <c r="AT4" i="31"/>
  <c r="AS4" i="31"/>
  <c r="AR4" i="31"/>
  <c r="AQ4" i="31"/>
  <c r="AP4" i="31"/>
  <c r="AO4" i="31"/>
  <c r="AN4" i="31"/>
  <c r="AM4" i="31"/>
  <c r="M11" i="25"/>
  <c r="L11" i="25"/>
  <c r="K11" i="25"/>
  <c r="J11" i="25"/>
  <c r="I11" i="25"/>
  <c r="H11" i="25"/>
  <c r="G11" i="25"/>
  <c r="F11" i="25"/>
  <c r="E11" i="25"/>
  <c r="D11" i="25"/>
  <c r="C11" i="25"/>
  <c r="D10" i="25"/>
  <c r="C10" i="25"/>
  <c r="D9" i="25"/>
  <c r="C9" i="25"/>
  <c r="G8" i="25"/>
  <c r="F8" i="25"/>
  <c r="E8" i="25"/>
  <c r="D8" i="25"/>
  <c r="C8" i="25"/>
  <c r="E13" i="25" s="1"/>
  <c r="C13" i="25" l="1"/>
  <c r="F13" i="25"/>
  <c r="C12" i="25"/>
  <c r="D12" i="25"/>
  <c r="H32" i="23"/>
  <c r="G32" i="23"/>
  <c r="F32" i="23"/>
  <c r="E32" i="23"/>
  <c r="D32" i="23"/>
  <c r="H31" i="23"/>
  <c r="G31" i="23"/>
  <c r="F31" i="23"/>
  <c r="E31" i="23"/>
  <c r="D31" i="23"/>
  <c r="H27" i="23"/>
  <c r="G27" i="23"/>
  <c r="F27" i="23"/>
  <c r="E27" i="23"/>
  <c r="D27" i="23"/>
  <c r="H26" i="23"/>
  <c r="G26" i="23"/>
  <c r="F26" i="23"/>
  <c r="E26" i="23"/>
  <c r="D26" i="23"/>
  <c r="H25" i="23"/>
  <c r="G25" i="23"/>
  <c r="F25" i="23"/>
  <c r="E25" i="23"/>
  <c r="D25" i="23"/>
  <c r="H24" i="23"/>
  <c r="G24" i="23"/>
  <c r="F24" i="23"/>
  <c r="E24" i="23"/>
  <c r="D24" i="23"/>
  <c r="H23" i="23"/>
  <c r="G23" i="23"/>
  <c r="F23" i="23"/>
  <c r="E23" i="23"/>
  <c r="D23" i="23"/>
  <c r="H22" i="23"/>
  <c r="G22" i="23"/>
  <c r="F22" i="23"/>
  <c r="E22" i="23"/>
  <c r="D22" i="23"/>
  <c r="H21" i="23"/>
  <c r="G21" i="23"/>
  <c r="F21" i="23"/>
  <c r="E21" i="23"/>
  <c r="D21" i="23"/>
  <c r="H20" i="23"/>
  <c r="G20" i="23"/>
  <c r="F20" i="23"/>
  <c r="E20" i="23"/>
  <c r="D20" i="23"/>
  <c r="C27" i="23"/>
  <c r="C26" i="23"/>
  <c r="C25" i="23"/>
  <c r="C24" i="23"/>
  <c r="C23" i="23"/>
  <c r="C22" i="23"/>
  <c r="C21" i="23"/>
  <c r="C20" i="23"/>
  <c r="C32" i="23"/>
  <c r="C31" i="23"/>
  <c r="H55" i="24"/>
  <c r="G55" i="24"/>
  <c r="F55" i="24"/>
  <c r="E55" i="24"/>
  <c r="D55" i="24"/>
  <c r="H54" i="24"/>
  <c r="G54" i="24"/>
  <c r="F54" i="24"/>
  <c r="E54" i="24"/>
  <c r="D54" i="24"/>
  <c r="H53" i="24"/>
  <c r="G53" i="24"/>
  <c r="F53" i="24"/>
  <c r="E53" i="24"/>
  <c r="D53" i="24"/>
  <c r="H52" i="24"/>
  <c r="G52" i="24"/>
  <c r="F52" i="24"/>
  <c r="E52" i="24"/>
  <c r="D52" i="24"/>
  <c r="C55" i="24"/>
  <c r="C54" i="24"/>
  <c r="C53" i="24"/>
  <c r="C52" i="24"/>
  <c r="U105" i="40" l="1"/>
  <c r="U106" i="40"/>
  <c r="U107" i="40"/>
  <c r="U108" i="40"/>
  <c r="U109" i="40"/>
  <c r="U110" i="40"/>
  <c r="U111" i="40"/>
  <c r="U112" i="40"/>
  <c r="U113" i="40"/>
  <c r="U114" i="40"/>
  <c r="U115" i="40"/>
  <c r="U116" i="40"/>
  <c r="U117" i="40"/>
  <c r="U118" i="40"/>
  <c r="U119" i="40"/>
  <c r="U120" i="40"/>
  <c r="U121" i="40"/>
  <c r="U122" i="40"/>
  <c r="U123" i="40"/>
  <c r="U124" i="40"/>
  <c r="U125" i="40"/>
  <c r="U126" i="40"/>
  <c r="U127" i="40"/>
  <c r="U128" i="40"/>
  <c r="U129" i="40"/>
  <c r="U130" i="40"/>
  <c r="U131" i="40"/>
  <c r="U132" i="40"/>
  <c r="U133" i="40"/>
  <c r="U134" i="40"/>
  <c r="U135" i="40"/>
  <c r="U136" i="40"/>
  <c r="U137" i="40"/>
  <c r="U138" i="40"/>
  <c r="U139" i="40"/>
  <c r="U140" i="40"/>
  <c r="U141" i="40"/>
  <c r="U142" i="40"/>
  <c r="U143" i="40"/>
  <c r="U144" i="40"/>
  <c r="U145" i="40"/>
  <c r="U146" i="40"/>
  <c r="U147" i="40"/>
  <c r="U148" i="40"/>
  <c r="U149" i="40"/>
  <c r="U150" i="40"/>
  <c r="U151" i="40"/>
  <c r="U152" i="40"/>
  <c r="U153" i="40"/>
  <c r="U154" i="40"/>
  <c r="U155" i="40"/>
  <c r="U156" i="40"/>
  <c r="U157" i="40"/>
  <c r="U158" i="40"/>
  <c r="U159" i="40"/>
  <c r="U160" i="40"/>
  <c r="U161" i="40"/>
  <c r="U162" i="40"/>
  <c r="U163" i="40"/>
  <c r="U164" i="40"/>
  <c r="U165" i="40"/>
  <c r="U166" i="40"/>
  <c r="U167" i="40"/>
  <c r="U168" i="40"/>
  <c r="U169" i="40"/>
  <c r="U170" i="40"/>
  <c r="U171" i="40"/>
  <c r="U172" i="40"/>
  <c r="U173" i="40"/>
  <c r="U174" i="40"/>
  <c r="U175" i="40"/>
  <c r="U176" i="40"/>
  <c r="U177" i="40"/>
  <c r="U178" i="40"/>
  <c r="U179" i="40"/>
  <c r="U180" i="40"/>
  <c r="U181" i="40"/>
  <c r="U182" i="40"/>
  <c r="U183" i="40"/>
  <c r="U184" i="40"/>
  <c r="U185" i="40"/>
  <c r="U186" i="40"/>
  <c r="U187" i="40"/>
  <c r="U188" i="40"/>
  <c r="U189" i="40"/>
  <c r="U190" i="40"/>
  <c r="U191" i="40"/>
  <c r="U192" i="40"/>
  <c r="U193" i="40"/>
  <c r="U194" i="40"/>
  <c r="U195" i="40"/>
  <c r="U196" i="40"/>
  <c r="U197" i="40"/>
  <c r="U198" i="40"/>
  <c r="U199" i="40"/>
  <c r="U200" i="40"/>
  <c r="U201" i="40"/>
  <c r="U202" i="40"/>
  <c r="U203" i="40"/>
  <c r="U204" i="40"/>
  <c r="U205" i="40"/>
  <c r="U206" i="40"/>
  <c r="U207" i="40"/>
  <c r="U208" i="40"/>
  <c r="U209" i="40"/>
  <c r="U210" i="40"/>
  <c r="U211" i="40"/>
  <c r="U212" i="40"/>
  <c r="U213" i="40"/>
  <c r="U214" i="40"/>
  <c r="U215" i="40"/>
  <c r="U216" i="40"/>
  <c r="U217" i="40"/>
  <c r="U218" i="40"/>
  <c r="U219" i="40"/>
  <c r="U220" i="40"/>
  <c r="U221" i="40"/>
  <c r="U222" i="40"/>
  <c r="U223" i="40"/>
  <c r="U224" i="40"/>
  <c r="U225" i="40"/>
  <c r="U226" i="40"/>
  <c r="U227" i="40"/>
  <c r="U228" i="40"/>
  <c r="U229" i="40"/>
  <c r="U230" i="40"/>
  <c r="U231" i="40"/>
  <c r="U232" i="40"/>
  <c r="U233" i="40"/>
  <c r="U234" i="40"/>
  <c r="U235" i="40"/>
  <c r="U236" i="40"/>
  <c r="U237" i="40"/>
  <c r="U238" i="40"/>
  <c r="U239" i="40"/>
  <c r="U240" i="40"/>
  <c r="U241" i="40"/>
  <c r="U242" i="40"/>
  <c r="U243" i="40"/>
  <c r="U244" i="40"/>
  <c r="U245" i="40"/>
  <c r="U246" i="40"/>
  <c r="U247" i="40"/>
  <c r="U248" i="40"/>
  <c r="U249" i="40"/>
  <c r="U250" i="40"/>
  <c r="U251" i="40"/>
  <c r="U252" i="40"/>
  <c r="U253" i="40"/>
  <c r="U254" i="40"/>
  <c r="U255" i="40"/>
  <c r="U256" i="40"/>
  <c r="U257" i="40"/>
  <c r="U258" i="40"/>
  <c r="U259" i="40"/>
  <c r="U260" i="40"/>
  <c r="U261" i="40"/>
  <c r="U262" i="40"/>
  <c r="U263" i="40"/>
  <c r="U264" i="40"/>
  <c r="U265" i="40"/>
  <c r="U266" i="40"/>
  <c r="U267" i="40"/>
  <c r="U268" i="40"/>
  <c r="U269" i="40"/>
  <c r="U270" i="40"/>
  <c r="U271" i="40"/>
  <c r="U272" i="40"/>
  <c r="U273" i="40"/>
  <c r="U274" i="40"/>
  <c r="U275" i="40"/>
  <c r="U276" i="40"/>
  <c r="U277" i="40"/>
  <c r="U278" i="40"/>
  <c r="U279" i="40"/>
  <c r="U280" i="40"/>
  <c r="U281" i="40"/>
  <c r="U282" i="40"/>
  <c r="U283" i="40"/>
  <c r="U284" i="40"/>
  <c r="U285" i="40"/>
  <c r="U286" i="40"/>
  <c r="U287" i="40"/>
  <c r="U288" i="40"/>
  <c r="U289" i="40"/>
  <c r="U290" i="40"/>
  <c r="U291" i="40"/>
  <c r="U292" i="40"/>
  <c r="U293" i="40"/>
  <c r="U294" i="40"/>
  <c r="U295" i="40"/>
  <c r="U296" i="40"/>
  <c r="U297" i="40"/>
  <c r="U298" i="40"/>
  <c r="U299" i="40"/>
  <c r="U300" i="40"/>
  <c r="U301" i="40"/>
  <c r="U302" i="40"/>
  <c r="U303" i="40"/>
  <c r="U304" i="40"/>
  <c r="U305" i="40"/>
  <c r="U306" i="40"/>
  <c r="U307" i="40"/>
  <c r="U308" i="40"/>
  <c r="U309" i="40"/>
  <c r="U310" i="40"/>
  <c r="U311" i="40"/>
  <c r="U312" i="40"/>
  <c r="U313" i="40"/>
  <c r="U314" i="40"/>
  <c r="U315" i="40"/>
  <c r="U316" i="40"/>
  <c r="U317" i="40"/>
  <c r="U318" i="40"/>
  <c r="U319" i="40"/>
  <c r="U320" i="40"/>
  <c r="U321" i="40"/>
  <c r="U322" i="40"/>
  <c r="U323" i="40"/>
  <c r="U324" i="40"/>
  <c r="U325" i="40"/>
  <c r="U326" i="40"/>
  <c r="U327" i="40"/>
  <c r="U328" i="40"/>
  <c r="U329" i="40"/>
  <c r="U330" i="40"/>
  <c r="U331" i="40"/>
  <c r="U332" i="40"/>
  <c r="U333" i="40"/>
  <c r="U334" i="40"/>
  <c r="U335" i="40"/>
  <c r="U336" i="40"/>
  <c r="U337" i="40"/>
  <c r="U338" i="40"/>
  <c r="U339" i="40"/>
  <c r="U340" i="40"/>
  <c r="U341" i="40"/>
  <c r="U342" i="40"/>
  <c r="U343" i="40"/>
  <c r="U344" i="40"/>
  <c r="U345" i="40"/>
  <c r="U346" i="40"/>
  <c r="U347" i="40"/>
  <c r="U348" i="40"/>
  <c r="U349" i="40"/>
  <c r="U350" i="40"/>
  <c r="U351" i="40"/>
  <c r="U352" i="40"/>
  <c r="U353" i="40"/>
  <c r="U354" i="40"/>
  <c r="U355" i="40"/>
  <c r="U356" i="40"/>
  <c r="U357" i="40"/>
  <c r="U358" i="40"/>
  <c r="U359" i="40"/>
  <c r="U360" i="40"/>
  <c r="U361" i="40"/>
  <c r="U362" i="40"/>
  <c r="U363" i="40"/>
  <c r="U364" i="40"/>
  <c r="U365" i="40"/>
  <c r="U366" i="40"/>
  <c r="U367" i="40"/>
  <c r="U368" i="40"/>
  <c r="U369" i="40"/>
  <c r="U370" i="40"/>
  <c r="U371" i="40"/>
  <c r="U372" i="40"/>
  <c r="U373" i="40"/>
  <c r="U374" i="40"/>
  <c r="U375" i="40"/>
  <c r="U376" i="40"/>
  <c r="U377" i="40"/>
  <c r="U378" i="40"/>
  <c r="U379" i="40"/>
  <c r="U380" i="40"/>
  <c r="U381" i="40"/>
  <c r="U382" i="40"/>
  <c r="U383" i="40"/>
  <c r="U384" i="40"/>
  <c r="U385" i="40"/>
  <c r="U386" i="40"/>
  <c r="U387" i="40"/>
  <c r="U388" i="40"/>
  <c r="U389" i="40"/>
  <c r="U390" i="40"/>
  <c r="U391" i="40"/>
  <c r="U392" i="40"/>
  <c r="U393" i="40"/>
  <c r="U394" i="40"/>
  <c r="U395" i="40"/>
  <c r="U396" i="40"/>
  <c r="U397" i="40"/>
  <c r="U398" i="40"/>
  <c r="U399" i="40"/>
  <c r="U400" i="40"/>
  <c r="U401" i="40"/>
  <c r="U402" i="40"/>
  <c r="U403" i="40"/>
  <c r="U404" i="40"/>
  <c r="U405" i="40"/>
  <c r="U406" i="40"/>
  <c r="U407" i="40"/>
  <c r="U408" i="40"/>
  <c r="U409" i="40"/>
  <c r="U410" i="40"/>
  <c r="U411" i="40"/>
  <c r="U412" i="40"/>
  <c r="U413" i="40"/>
  <c r="U414" i="40"/>
  <c r="U415" i="40"/>
  <c r="U416" i="40"/>
  <c r="U417" i="40"/>
  <c r="U418" i="40"/>
  <c r="U419" i="40"/>
  <c r="U420" i="40"/>
  <c r="U421" i="40"/>
  <c r="U422" i="40"/>
  <c r="U423" i="40"/>
  <c r="U424" i="40"/>
  <c r="U425" i="40"/>
  <c r="U426" i="40"/>
  <c r="U427" i="40"/>
  <c r="U428" i="40"/>
  <c r="U429" i="40"/>
  <c r="U430" i="40"/>
  <c r="U431" i="40"/>
  <c r="U432" i="40"/>
  <c r="U433" i="40"/>
  <c r="U434" i="40"/>
  <c r="U435" i="40"/>
  <c r="U436" i="40"/>
  <c r="U437" i="40"/>
  <c r="U438" i="40"/>
  <c r="U439" i="40"/>
  <c r="U440" i="40"/>
  <c r="U441" i="40"/>
  <c r="U442" i="40"/>
  <c r="U443" i="40"/>
  <c r="U444" i="40"/>
  <c r="U445" i="40"/>
  <c r="U446" i="40"/>
  <c r="U447" i="40"/>
  <c r="U448" i="40"/>
  <c r="U449" i="40"/>
  <c r="U450" i="40"/>
  <c r="U451" i="40"/>
  <c r="U452" i="40"/>
  <c r="U453" i="40"/>
  <c r="U454" i="40"/>
  <c r="U455" i="40"/>
  <c r="U456" i="40"/>
  <c r="U457" i="40"/>
  <c r="U458" i="40"/>
  <c r="U459" i="40"/>
  <c r="U460" i="40"/>
  <c r="U461" i="40"/>
  <c r="U462" i="40"/>
  <c r="U463" i="40"/>
  <c r="U464" i="40"/>
  <c r="U465" i="40"/>
  <c r="U466" i="40"/>
  <c r="U467" i="40"/>
  <c r="U468" i="40"/>
  <c r="U469" i="40"/>
  <c r="U470" i="40"/>
  <c r="U471" i="40"/>
  <c r="U472" i="40"/>
  <c r="U473" i="40"/>
  <c r="U474" i="40"/>
  <c r="U475" i="40"/>
  <c r="U476" i="40"/>
  <c r="U477" i="40"/>
  <c r="U478" i="40"/>
  <c r="U479" i="40"/>
  <c r="U480" i="40"/>
  <c r="U481" i="40"/>
  <c r="U482" i="40"/>
  <c r="U483" i="40"/>
  <c r="U484" i="40"/>
  <c r="U485" i="40"/>
  <c r="U486" i="40"/>
  <c r="U487" i="40"/>
  <c r="U488" i="40"/>
  <c r="U489" i="40"/>
  <c r="U490" i="40"/>
  <c r="U491" i="40"/>
  <c r="U492" i="40"/>
  <c r="U493" i="40"/>
  <c r="U494" i="40"/>
  <c r="U495" i="40"/>
  <c r="U496" i="40"/>
  <c r="U497" i="40"/>
  <c r="U498" i="40"/>
  <c r="U499" i="40"/>
  <c r="U500" i="40"/>
  <c r="H24" i="24"/>
  <c r="G24" i="24"/>
  <c r="F24" i="24"/>
  <c r="E24" i="24"/>
  <c r="D24" i="24"/>
  <c r="H23" i="24"/>
  <c r="G23" i="24"/>
  <c r="F23" i="24"/>
  <c r="E23" i="24"/>
  <c r="D23" i="24"/>
  <c r="H22" i="24"/>
  <c r="G22" i="24"/>
  <c r="F22" i="24"/>
  <c r="E22" i="24"/>
  <c r="D22" i="24"/>
  <c r="H21" i="24"/>
  <c r="G21" i="24"/>
  <c r="F21" i="24"/>
  <c r="E21" i="24"/>
  <c r="D21" i="24"/>
  <c r="H20" i="24"/>
  <c r="G20" i="24"/>
  <c r="F20" i="24"/>
  <c r="E20" i="24"/>
  <c r="D20" i="24"/>
  <c r="H19" i="24"/>
  <c r="G19" i="24"/>
  <c r="F19" i="24"/>
  <c r="E19" i="24"/>
  <c r="D19" i="24"/>
  <c r="H18" i="24"/>
  <c r="G18" i="24"/>
  <c r="F18" i="24"/>
  <c r="E18" i="24"/>
  <c r="D18" i="24"/>
  <c r="H17" i="24"/>
  <c r="G17" i="24"/>
  <c r="F17" i="24"/>
  <c r="E17" i="24"/>
  <c r="D17" i="24"/>
  <c r="H16" i="24"/>
  <c r="G16" i="24"/>
  <c r="F16" i="24"/>
  <c r="E16" i="24"/>
  <c r="D16" i="24"/>
  <c r="H15" i="24"/>
  <c r="G15" i="24"/>
  <c r="F15" i="24"/>
  <c r="E15" i="24"/>
  <c r="D15" i="24"/>
  <c r="H14" i="24"/>
  <c r="G14" i="24"/>
  <c r="F14" i="24"/>
  <c r="E14" i="24"/>
  <c r="D14" i="24"/>
  <c r="H13" i="24"/>
  <c r="G13" i="24"/>
  <c r="F13" i="24"/>
  <c r="E13" i="24"/>
  <c r="D13" i="24"/>
  <c r="H12" i="24"/>
  <c r="G12" i="24"/>
  <c r="F12" i="24"/>
  <c r="E12" i="24"/>
  <c r="D12" i="24"/>
  <c r="H11" i="24"/>
  <c r="G11" i="24"/>
  <c r="F11" i="24"/>
  <c r="E11" i="24"/>
  <c r="D11" i="24"/>
  <c r="H10" i="24"/>
  <c r="G10" i="24"/>
  <c r="F10" i="24"/>
  <c r="E10" i="24"/>
  <c r="D10" i="24"/>
  <c r="H9" i="24"/>
  <c r="G9" i="24"/>
  <c r="F9" i="24"/>
  <c r="E9" i="24"/>
  <c r="D9" i="24"/>
  <c r="H8" i="24"/>
  <c r="G8" i="24"/>
  <c r="F8" i="24"/>
  <c r="E8" i="24"/>
  <c r="D8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N7" i="22"/>
  <c r="M7" i="22"/>
  <c r="L7" i="22"/>
  <c r="K7" i="22"/>
  <c r="J7" i="22"/>
  <c r="H7" i="22"/>
  <c r="G7" i="22"/>
  <c r="F7" i="22"/>
  <c r="E7" i="22"/>
  <c r="D7" i="22"/>
  <c r="C7" i="22"/>
  <c r="G38" i="21"/>
  <c r="F38" i="21"/>
  <c r="E38" i="21"/>
  <c r="F36" i="21"/>
  <c r="E36" i="21"/>
  <c r="F35" i="21"/>
  <c r="E35" i="21"/>
  <c r="F34" i="21"/>
  <c r="E34" i="21"/>
  <c r="F33" i="21"/>
  <c r="E33" i="21"/>
  <c r="F32" i="21"/>
  <c r="E32" i="21"/>
  <c r="D36" i="21"/>
  <c r="D35" i="21"/>
  <c r="N34" i="21"/>
  <c r="M34" i="21"/>
  <c r="L34" i="21"/>
  <c r="K34" i="21"/>
  <c r="J34" i="21"/>
  <c r="I34" i="21"/>
  <c r="H34" i="21"/>
  <c r="G34" i="21"/>
  <c r="N33" i="21"/>
  <c r="M33" i="21"/>
  <c r="L33" i="21"/>
  <c r="K33" i="21"/>
  <c r="J33" i="21"/>
  <c r="I33" i="21"/>
  <c r="H33" i="21"/>
  <c r="G33" i="21"/>
  <c r="N32" i="21"/>
  <c r="M32" i="21"/>
  <c r="L32" i="21"/>
  <c r="K32" i="21"/>
  <c r="J32" i="21"/>
  <c r="I32" i="21"/>
  <c r="H32" i="21"/>
  <c r="G32" i="21"/>
  <c r="D34" i="21"/>
  <c r="D33" i="21"/>
  <c r="D32" i="21"/>
  <c r="N30" i="21"/>
  <c r="M30" i="21"/>
  <c r="L30" i="21"/>
  <c r="K30" i="21"/>
  <c r="J30" i="21"/>
  <c r="I30" i="21"/>
  <c r="H30" i="21"/>
  <c r="G30" i="21"/>
  <c r="F30" i="21"/>
  <c r="E30" i="21"/>
  <c r="N29" i="21"/>
  <c r="M29" i="21"/>
  <c r="L29" i="21"/>
  <c r="K29" i="21"/>
  <c r="J29" i="21"/>
  <c r="I29" i="21"/>
  <c r="H29" i="21"/>
  <c r="G29" i="21"/>
  <c r="F29" i="21"/>
  <c r="E29" i="21"/>
  <c r="N28" i="21"/>
  <c r="M28" i="21"/>
  <c r="L28" i="21"/>
  <c r="K28" i="21"/>
  <c r="J28" i="21"/>
  <c r="I28" i="21"/>
  <c r="H28" i="21"/>
  <c r="G28" i="21"/>
  <c r="F28" i="21"/>
  <c r="E28" i="21"/>
  <c r="N27" i="21"/>
  <c r="M27" i="21"/>
  <c r="L27" i="21"/>
  <c r="K27" i="21"/>
  <c r="J27" i="21"/>
  <c r="I27" i="21"/>
  <c r="H27" i="21"/>
  <c r="G27" i="21"/>
  <c r="F27" i="21"/>
  <c r="E27" i="21"/>
  <c r="N26" i="21"/>
  <c r="M26" i="21"/>
  <c r="L26" i="21"/>
  <c r="K26" i="21"/>
  <c r="J26" i="21"/>
  <c r="I26" i="21"/>
  <c r="H26" i="21"/>
  <c r="G26" i="21"/>
  <c r="F26" i="21"/>
  <c r="E26" i="21"/>
  <c r="N25" i="21"/>
  <c r="M25" i="21"/>
  <c r="L25" i="21"/>
  <c r="K25" i="21"/>
  <c r="J25" i="21"/>
  <c r="I25" i="21"/>
  <c r="H25" i="21"/>
  <c r="G25" i="21"/>
  <c r="F25" i="21"/>
  <c r="E25" i="21"/>
  <c r="N24" i="21"/>
  <c r="M24" i="21"/>
  <c r="L24" i="21"/>
  <c r="K24" i="21"/>
  <c r="J24" i="21"/>
  <c r="I24" i="21"/>
  <c r="H24" i="21"/>
  <c r="G24" i="21"/>
  <c r="F24" i="21"/>
  <c r="E24" i="21"/>
  <c r="N23" i="21"/>
  <c r="M23" i="21"/>
  <c r="L23" i="21"/>
  <c r="K23" i="21"/>
  <c r="J23" i="21"/>
  <c r="I23" i="21"/>
  <c r="H23" i="21"/>
  <c r="G23" i="21"/>
  <c r="F23" i="21"/>
  <c r="E23" i="21"/>
  <c r="N22" i="21"/>
  <c r="M22" i="21"/>
  <c r="L22" i="21"/>
  <c r="K22" i="21"/>
  <c r="J22" i="21"/>
  <c r="I22" i="21"/>
  <c r="H22" i="21"/>
  <c r="G22" i="21"/>
  <c r="F22" i="21"/>
  <c r="E22" i="21"/>
  <c r="N21" i="21"/>
  <c r="M21" i="21"/>
  <c r="L21" i="21"/>
  <c r="K21" i="21"/>
  <c r="J21" i="21"/>
  <c r="I21" i="21"/>
  <c r="H21" i="21"/>
  <c r="G21" i="21"/>
  <c r="F21" i="21"/>
  <c r="E21" i="21"/>
  <c r="N20" i="21"/>
  <c r="M20" i="21"/>
  <c r="L20" i="21"/>
  <c r="K20" i="21"/>
  <c r="J20" i="21"/>
  <c r="I20" i="21"/>
  <c r="H20" i="21"/>
  <c r="G20" i="21"/>
  <c r="F20" i="21"/>
  <c r="E20" i="21"/>
  <c r="N19" i="21"/>
  <c r="M19" i="21"/>
  <c r="L19" i="21"/>
  <c r="K19" i="21"/>
  <c r="J19" i="21"/>
  <c r="I19" i="21"/>
  <c r="H19" i="21"/>
  <c r="G19" i="21"/>
  <c r="F19" i="21"/>
  <c r="E19" i="21"/>
  <c r="N18" i="21"/>
  <c r="M18" i="21"/>
  <c r="L18" i="21"/>
  <c r="K18" i="21"/>
  <c r="J18" i="21"/>
  <c r="I18" i="21"/>
  <c r="H18" i="21"/>
  <c r="G18" i="21"/>
  <c r="F18" i="21"/>
  <c r="E18" i="21"/>
  <c r="N17" i="21"/>
  <c r="M17" i="21"/>
  <c r="L17" i="21"/>
  <c r="K17" i="21"/>
  <c r="J17" i="21"/>
  <c r="I17" i="21"/>
  <c r="H17" i="21"/>
  <c r="G17" i="21"/>
  <c r="F17" i="21"/>
  <c r="E17" i="21"/>
  <c r="N16" i="21"/>
  <c r="M16" i="21"/>
  <c r="L16" i="21"/>
  <c r="K16" i="21"/>
  <c r="J16" i="21"/>
  <c r="I16" i="21"/>
  <c r="H16" i="21"/>
  <c r="G16" i="21"/>
  <c r="F16" i="21"/>
  <c r="E16" i="21"/>
  <c r="N15" i="21"/>
  <c r="M15" i="21"/>
  <c r="L15" i="21"/>
  <c r="K15" i="21"/>
  <c r="J15" i="21"/>
  <c r="I15" i="21"/>
  <c r="H15" i="21"/>
  <c r="G15" i="21"/>
  <c r="F15" i="21"/>
  <c r="E15" i="21"/>
  <c r="N14" i="21"/>
  <c r="M14" i="21"/>
  <c r="L14" i="21"/>
  <c r="K14" i="21"/>
  <c r="J14" i="21"/>
  <c r="I14" i="21"/>
  <c r="H14" i="21"/>
  <c r="G14" i="21"/>
  <c r="F14" i="21"/>
  <c r="E14" i="21"/>
  <c r="N13" i="21"/>
  <c r="M13" i="21"/>
  <c r="L13" i="21"/>
  <c r="K13" i="21"/>
  <c r="J13" i="21"/>
  <c r="I13" i="21"/>
  <c r="H13" i="21"/>
  <c r="G13" i="21"/>
  <c r="F13" i="21"/>
  <c r="E13" i="21"/>
  <c r="N12" i="21"/>
  <c r="M12" i="21"/>
  <c r="L12" i="21"/>
  <c r="K12" i="21"/>
  <c r="J12" i="21"/>
  <c r="I12" i="21"/>
  <c r="H12" i="21"/>
  <c r="G12" i="21"/>
  <c r="F12" i="21"/>
  <c r="E12" i="21"/>
  <c r="N11" i="21"/>
  <c r="M11" i="21"/>
  <c r="L11" i="21"/>
  <c r="K11" i="21"/>
  <c r="J11" i="21"/>
  <c r="I11" i="21"/>
  <c r="H11" i="21"/>
  <c r="G11" i="21"/>
  <c r="F11" i="21"/>
  <c r="E11" i="21"/>
  <c r="N10" i="21"/>
  <c r="M10" i="21"/>
  <c r="L10" i="21"/>
  <c r="K10" i="21"/>
  <c r="J10" i="21"/>
  <c r="I10" i="21"/>
  <c r="H10" i="21"/>
  <c r="G10" i="21"/>
  <c r="F10" i="21"/>
  <c r="E10" i="21"/>
  <c r="N9" i="21"/>
  <c r="M9" i="21"/>
  <c r="L9" i="21"/>
  <c r="K9" i="21"/>
  <c r="J9" i="21"/>
  <c r="I9" i="21"/>
  <c r="H9" i="21"/>
  <c r="G9" i="21"/>
  <c r="F9" i="21"/>
  <c r="E9" i="21"/>
  <c r="N8" i="21"/>
  <c r="M8" i="21"/>
  <c r="L8" i="21"/>
  <c r="K8" i="21"/>
  <c r="J8" i="21"/>
  <c r="I8" i="21"/>
  <c r="H8" i="21"/>
  <c r="G8" i="21"/>
  <c r="F8" i="21"/>
  <c r="E8" i="21"/>
  <c r="N7" i="21"/>
  <c r="M7" i="21"/>
  <c r="L7" i="21"/>
  <c r="K7" i="21"/>
  <c r="J7" i="21"/>
  <c r="I7" i="21"/>
  <c r="H7" i="21"/>
  <c r="G7" i="21"/>
  <c r="F7" i="21"/>
  <c r="E7" i="21"/>
  <c r="N6" i="21"/>
  <c r="M6" i="21"/>
  <c r="L6" i="21"/>
  <c r="K6" i="21"/>
  <c r="J6" i="21"/>
  <c r="I6" i="21"/>
  <c r="H6" i="21"/>
  <c r="G6" i="21"/>
  <c r="F6" i="21"/>
  <c r="E6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M29" i="20"/>
  <c r="L29" i="20"/>
  <c r="K29" i="20"/>
  <c r="J29" i="20"/>
  <c r="I29" i="20"/>
  <c r="H29" i="20"/>
  <c r="G29" i="20"/>
  <c r="F29" i="20"/>
  <c r="G28" i="20"/>
  <c r="F28" i="20"/>
  <c r="M26" i="20"/>
  <c r="L26" i="20"/>
  <c r="K26" i="20"/>
  <c r="J26" i="20"/>
  <c r="I26" i="20"/>
  <c r="H26" i="20"/>
  <c r="G26" i="20"/>
  <c r="F26" i="20"/>
  <c r="G25" i="20"/>
  <c r="F25" i="20"/>
  <c r="M23" i="20"/>
  <c r="L23" i="20"/>
  <c r="K23" i="20"/>
  <c r="J23" i="20"/>
  <c r="I23" i="20"/>
  <c r="H23" i="20"/>
  <c r="G23" i="20"/>
  <c r="F23" i="20"/>
  <c r="G22" i="20"/>
  <c r="F22" i="20"/>
  <c r="E29" i="20"/>
  <c r="E28" i="20"/>
  <c r="E26" i="20"/>
  <c r="E25" i="20"/>
  <c r="E23" i="20"/>
  <c r="E22" i="20"/>
  <c r="D29" i="20"/>
  <c r="D28" i="20"/>
  <c r="D26" i="20"/>
  <c r="D25" i="20"/>
  <c r="D23" i="20"/>
  <c r="D22" i="20"/>
  <c r="C29" i="20"/>
  <c r="C28" i="20"/>
  <c r="C26" i="20"/>
  <c r="C25" i="20"/>
  <c r="C23" i="20"/>
  <c r="C22" i="20"/>
  <c r="M16" i="20"/>
  <c r="L16" i="20"/>
  <c r="K16" i="20"/>
  <c r="J16" i="20"/>
  <c r="I16" i="20"/>
  <c r="H16" i="20"/>
  <c r="G16" i="20"/>
  <c r="M15" i="20"/>
  <c r="L15" i="20"/>
  <c r="K15" i="20"/>
  <c r="J15" i="20"/>
  <c r="I15" i="20"/>
  <c r="H15" i="20"/>
  <c r="G15" i="20"/>
  <c r="M14" i="20"/>
  <c r="L14" i="20"/>
  <c r="K14" i="20"/>
  <c r="J14" i="20"/>
  <c r="I14" i="20"/>
  <c r="H14" i="20"/>
  <c r="G14" i="20"/>
  <c r="M13" i="20"/>
  <c r="L13" i="20"/>
  <c r="K13" i="20"/>
  <c r="J13" i="20"/>
  <c r="I13" i="20"/>
  <c r="H13" i="20"/>
  <c r="G13" i="20"/>
  <c r="M12" i="20"/>
  <c r="L12" i="20"/>
  <c r="K12" i="20"/>
  <c r="J12" i="20"/>
  <c r="I12" i="20"/>
  <c r="H12" i="20"/>
  <c r="G12" i="20"/>
  <c r="M11" i="20"/>
  <c r="L11" i="20"/>
  <c r="K11" i="20"/>
  <c r="J11" i="20"/>
  <c r="I11" i="20"/>
  <c r="H11" i="20"/>
  <c r="G11" i="20"/>
  <c r="M10" i="20"/>
  <c r="L10" i="20"/>
  <c r="K10" i="20"/>
  <c r="J10" i="20"/>
  <c r="I10" i="20"/>
  <c r="H10" i="20"/>
  <c r="G10" i="20"/>
  <c r="F16" i="20"/>
  <c r="F15" i="20"/>
  <c r="F14" i="20"/>
  <c r="F13" i="20"/>
  <c r="F12" i="20"/>
  <c r="F11" i="20"/>
  <c r="F10" i="20"/>
  <c r="E16" i="20"/>
  <c r="E15" i="20"/>
  <c r="E14" i="20"/>
  <c r="E13" i="20"/>
  <c r="E12" i="20"/>
  <c r="E11" i="20"/>
  <c r="E10" i="20"/>
  <c r="D16" i="20"/>
  <c r="D15" i="20"/>
  <c r="D14" i="20"/>
  <c r="D13" i="20"/>
  <c r="D12" i="20"/>
  <c r="D11" i="20"/>
  <c r="D10" i="20"/>
  <c r="C16" i="20"/>
  <c r="C15" i="20"/>
  <c r="C14" i="20"/>
  <c r="C13" i="20"/>
  <c r="C12" i="20"/>
  <c r="C11" i="20"/>
  <c r="C10" i="20"/>
  <c r="AA76" i="32"/>
  <c r="E41" i="21" l="1"/>
  <c r="F41" i="21"/>
  <c r="G41" i="21"/>
  <c r="J30" i="34"/>
  <c r="I30" i="34"/>
  <c r="H30" i="34"/>
  <c r="G30" i="34"/>
  <c r="F30" i="34"/>
  <c r="E30" i="34"/>
  <c r="D30" i="34"/>
  <c r="C30" i="34"/>
  <c r="W4" i="40" l="1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31" i="40"/>
  <c r="W32" i="40"/>
  <c r="W33" i="40"/>
  <c r="W34" i="40"/>
  <c r="W35" i="40"/>
  <c r="W36" i="40"/>
  <c r="W37" i="40"/>
  <c r="W38" i="40"/>
  <c r="W39" i="40"/>
  <c r="W40" i="40"/>
  <c r="W41" i="40"/>
  <c r="W42" i="40"/>
  <c r="W43" i="40"/>
  <c r="W44" i="40"/>
  <c r="W45" i="40"/>
  <c r="W46" i="40"/>
  <c r="W47" i="40"/>
  <c r="W48" i="40"/>
  <c r="W49" i="40"/>
  <c r="W50" i="40"/>
  <c r="W51" i="40"/>
  <c r="W52" i="40"/>
  <c r="W53" i="40"/>
  <c r="W54" i="40"/>
  <c r="W55" i="40"/>
  <c r="W56" i="40"/>
  <c r="W57" i="40"/>
  <c r="W58" i="40"/>
  <c r="W59" i="40"/>
  <c r="W60" i="40"/>
  <c r="W61" i="40"/>
  <c r="W62" i="40"/>
  <c r="W63" i="40"/>
  <c r="W64" i="40"/>
  <c r="W65" i="40"/>
  <c r="W66" i="40"/>
  <c r="W67" i="40"/>
  <c r="W68" i="40"/>
  <c r="W69" i="40"/>
  <c r="W70" i="40"/>
  <c r="W71" i="40"/>
  <c r="W72" i="40"/>
  <c r="W73" i="40"/>
  <c r="W74" i="40"/>
  <c r="W75" i="40"/>
  <c r="W76" i="40"/>
  <c r="W77" i="40"/>
  <c r="W78" i="40"/>
  <c r="W79" i="40"/>
  <c r="W80" i="40"/>
  <c r="W81" i="40"/>
  <c r="W82" i="40"/>
  <c r="W83" i="40"/>
  <c r="W84" i="40"/>
  <c r="W85" i="40"/>
  <c r="W86" i="40"/>
  <c r="W87" i="40"/>
  <c r="W88" i="40"/>
  <c r="W89" i="40"/>
  <c r="W90" i="40"/>
  <c r="W91" i="40"/>
  <c r="W92" i="40"/>
  <c r="W93" i="40"/>
  <c r="W94" i="40"/>
  <c r="W95" i="40"/>
  <c r="W96" i="40"/>
  <c r="W97" i="40"/>
  <c r="W98" i="40"/>
  <c r="W99" i="40"/>
  <c r="W100" i="40"/>
  <c r="W101" i="40"/>
  <c r="W102" i="40"/>
  <c r="W103" i="40"/>
  <c r="W104" i="40"/>
  <c r="W105" i="40"/>
  <c r="V105" i="40" s="1"/>
  <c r="W106" i="40"/>
  <c r="V106" i="40" s="1"/>
  <c r="W107" i="40"/>
  <c r="V107" i="40" s="1"/>
  <c r="W108" i="40"/>
  <c r="V108" i="40" s="1"/>
  <c r="W109" i="40"/>
  <c r="V109" i="40" s="1"/>
  <c r="W110" i="40"/>
  <c r="V110" i="40" s="1"/>
  <c r="W111" i="40"/>
  <c r="V111" i="40" s="1"/>
  <c r="W112" i="40"/>
  <c r="V112" i="40" s="1"/>
  <c r="W113" i="40"/>
  <c r="V113" i="40" s="1"/>
  <c r="W114" i="40"/>
  <c r="V114" i="40" s="1"/>
  <c r="W115" i="40"/>
  <c r="V115" i="40" s="1"/>
  <c r="W116" i="40"/>
  <c r="V116" i="40" s="1"/>
  <c r="W117" i="40"/>
  <c r="V117" i="40" s="1"/>
  <c r="W118" i="40"/>
  <c r="V118" i="40" s="1"/>
  <c r="W119" i="40"/>
  <c r="V119" i="40" s="1"/>
  <c r="W120" i="40"/>
  <c r="V120" i="40" s="1"/>
  <c r="W121" i="40"/>
  <c r="V121" i="40" s="1"/>
  <c r="W122" i="40"/>
  <c r="V122" i="40" s="1"/>
  <c r="W123" i="40"/>
  <c r="V123" i="40" s="1"/>
  <c r="W124" i="40"/>
  <c r="V124" i="40" s="1"/>
  <c r="W125" i="40"/>
  <c r="V125" i="40" s="1"/>
  <c r="W126" i="40"/>
  <c r="V126" i="40" s="1"/>
  <c r="W127" i="40"/>
  <c r="V127" i="40" s="1"/>
  <c r="W128" i="40"/>
  <c r="V128" i="40" s="1"/>
  <c r="W129" i="40"/>
  <c r="V129" i="40" s="1"/>
  <c r="W130" i="40"/>
  <c r="V130" i="40" s="1"/>
  <c r="W131" i="40"/>
  <c r="V131" i="40" s="1"/>
  <c r="W132" i="40"/>
  <c r="V132" i="40" s="1"/>
  <c r="W133" i="40"/>
  <c r="V133" i="40" s="1"/>
  <c r="W134" i="40"/>
  <c r="V134" i="40" s="1"/>
  <c r="W135" i="40"/>
  <c r="V135" i="40" s="1"/>
  <c r="W136" i="40"/>
  <c r="V136" i="40" s="1"/>
  <c r="W137" i="40"/>
  <c r="V137" i="40" s="1"/>
  <c r="W138" i="40"/>
  <c r="V138" i="40" s="1"/>
  <c r="W139" i="40"/>
  <c r="V139" i="40" s="1"/>
  <c r="W140" i="40"/>
  <c r="V140" i="40" s="1"/>
  <c r="W141" i="40"/>
  <c r="V141" i="40" s="1"/>
  <c r="W142" i="40"/>
  <c r="V142" i="40" s="1"/>
  <c r="W143" i="40"/>
  <c r="V143" i="40" s="1"/>
  <c r="W144" i="40"/>
  <c r="V144" i="40" s="1"/>
  <c r="W145" i="40"/>
  <c r="V145" i="40" s="1"/>
  <c r="W146" i="40"/>
  <c r="V146" i="40" s="1"/>
  <c r="W147" i="40"/>
  <c r="V147" i="40" s="1"/>
  <c r="W148" i="40"/>
  <c r="V148" i="40" s="1"/>
  <c r="W149" i="40"/>
  <c r="V149" i="40" s="1"/>
  <c r="W150" i="40"/>
  <c r="V150" i="40" s="1"/>
  <c r="W151" i="40"/>
  <c r="V151" i="40" s="1"/>
  <c r="W152" i="40"/>
  <c r="V152" i="40" s="1"/>
  <c r="W153" i="40"/>
  <c r="V153" i="40" s="1"/>
  <c r="W154" i="40"/>
  <c r="V154" i="40" s="1"/>
  <c r="W155" i="40"/>
  <c r="V155" i="40" s="1"/>
  <c r="W156" i="40"/>
  <c r="V156" i="40" s="1"/>
  <c r="W157" i="40"/>
  <c r="V157" i="40" s="1"/>
  <c r="W158" i="40"/>
  <c r="V158" i="40" s="1"/>
  <c r="W159" i="40"/>
  <c r="V159" i="40" s="1"/>
  <c r="W160" i="40"/>
  <c r="V160" i="40" s="1"/>
  <c r="W161" i="40"/>
  <c r="V161" i="40" s="1"/>
  <c r="W162" i="40"/>
  <c r="V162" i="40" s="1"/>
  <c r="W163" i="40"/>
  <c r="V163" i="40" s="1"/>
  <c r="W164" i="40"/>
  <c r="V164" i="40" s="1"/>
  <c r="W165" i="40"/>
  <c r="V165" i="40" s="1"/>
  <c r="W166" i="40"/>
  <c r="V166" i="40" s="1"/>
  <c r="W167" i="40"/>
  <c r="V167" i="40" s="1"/>
  <c r="W168" i="40"/>
  <c r="V168" i="40" s="1"/>
  <c r="W169" i="40"/>
  <c r="V169" i="40" s="1"/>
  <c r="W170" i="40"/>
  <c r="V170" i="40" s="1"/>
  <c r="W171" i="40"/>
  <c r="V171" i="40" s="1"/>
  <c r="W172" i="40"/>
  <c r="V172" i="40" s="1"/>
  <c r="W173" i="40"/>
  <c r="V173" i="40" s="1"/>
  <c r="W174" i="40"/>
  <c r="V174" i="40" s="1"/>
  <c r="W175" i="40"/>
  <c r="V175" i="40" s="1"/>
  <c r="W176" i="40"/>
  <c r="V176" i="40" s="1"/>
  <c r="W177" i="40"/>
  <c r="V177" i="40" s="1"/>
  <c r="W178" i="40"/>
  <c r="V178" i="40" s="1"/>
  <c r="W179" i="40"/>
  <c r="V179" i="40" s="1"/>
  <c r="W180" i="40"/>
  <c r="V180" i="40" s="1"/>
  <c r="W181" i="40"/>
  <c r="V181" i="40" s="1"/>
  <c r="W182" i="40"/>
  <c r="V182" i="40" s="1"/>
  <c r="W183" i="40"/>
  <c r="V183" i="40" s="1"/>
  <c r="W184" i="40"/>
  <c r="V184" i="40" s="1"/>
  <c r="W185" i="40"/>
  <c r="V185" i="40" s="1"/>
  <c r="W186" i="40"/>
  <c r="V186" i="40" s="1"/>
  <c r="W187" i="40"/>
  <c r="V187" i="40" s="1"/>
  <c r="W188" i="40"/>
  <c r="V188" i="40" s="1"/>
  <c r="W189" i="40"/>
  <c r="V189" i="40" s="1"/>
  <c r="W190" i="40"/>
  <c r="V190" i="40" s="1"/>
  <c r="W191" i="40"/>
  <c r="V191" i="40" s="1"/>
  <c r="W192" i="40"/>
  <c r="V192" i="40" s="1"/>
  <c r="W193" i="40"/>
  <c r="V193" i="40" s="1"/>
  <c r="W194" i="40"/>
  <c r="V194" i="40" s="1"/>
  <c r="W195" i="40"/>
  <c r="V195" i="40" s="1"/>
  <c r="W196" i="40"/>
  <c r="V196" i="40" s="1"/>
  <c r="W197" i="40"/>
  <c r="V197" i="40" s="1"/>
  <c r="W198" i="40"/>
  <c r="V198" i="40" s="1"/>
  <c r="W199" i="40"/>
  <c r="V199" i="40" s="1"/>
  <c r="W200" i="40"/>
  <c r="V200" i="40" s="1"/>
  <c r="W201" i="40"/>
  <c r="V201" i="40" s="1"/>
  <c r="W202" i="40"/>
  <c r="V202" i="40" s="1"/>
  <c r="W203" i="40"/>
  <c r="V203" i="40" s="1"/>
  <c r="W204" i="40"/>
  <c r="V204" i="40" s="1"/>
  <c r="W205" i="40"/>
  <c r="V205" i="40" s="1"/>
  <c r="W206" i="40"/>
  <c r="V206" i="40" s="1"/>
  <c r="W207" i="40"/>
  <c r="V207" i="40" s="1"/>
  <c r="W208" i="40"/>
  <c r="V208" i="40" s="1"/>
  <c r="W209" i="40"/>
  <c r="V209" i="40" s="1"/>
  <c r="W210" i="40"/>
  <c r="V210" i="40" s="1"/>
  <c r="W211" i="40"/>
  <c r="V211" i="40" s="1"/>
  <c r="W212" i="40"/>
  <c r="V212" i="40" s="1"/>
  <c r="W213" i="40"/>
  <c r="V213" i="40" s="1"/>
  <c r="W214" i="40"/>
  <c r="V214" i="40" s="1"/>
  <c r="W215" i="40"/>
  <c r="V215" i="40" s="1"/>
  <c r="W216" i="40"/>
  <c r="V216" i="40" s="1"/>
  <c r="W217" i="40"/>
  <c r="V217" i="40" s="1"/>
  <c r="W218" i="40"/>
  <c r="V218" i="40" s="1"/>
  <c r="W219" i="40"/>
  <c r="V219" i="40" s="1"/>
  <c r="W220" i="40"/>
  <c r="V220" i="40" s="1"/>
  <c r="W221" i="40"/>
  <c r="V221" i="40" s="1"/>
  <c r="W222" i="40"/>
  <c r="V222" i="40" s="1"/>
  <c r="W223" i="40"/>
  <c r="V223" i="40" s="1"/>
  <c r="W224" i="40"/>
  <c r="V224" i="40" s="1"/>
  <c r="W225" i="40"/>
  <c r="V225" i="40" s="1"/>
  <c r="W226" i="40"/>
  <c r="V226" i="40" s="1"/>
  <c r="W227" i="40"/>
  <c r="V227" i="40" s="1"/>
  <c r="W228" i="40"/>
  <c r="V228" i="40" s="1"/>
  <c r="W229" i="40"/>
  <c r="V229" i="40" s="1"/>
  <c r="W230" i="40"/>
  <c r="V230" i="40" s="1"/>
  <c r="W231" i="40"/>
  <c r="V231" i="40" s="1"/>
  <c r="W232" i="40"/>
  <c r="V232" i="40" s="1"/>
  <c r="W233" i="40"/>
  <c r="V233" i="40" s="1"/>
  <c r="W234" i="40"/>
  <c r="V234" i="40" s="1"/>
  <c r="W235" i="40"/>
  <c r="V235" i="40" s="1"/>
  <c r="W236" i="40"/>
  <c r="V236" i="40" s="1"/>
  <c r="W237" i="40"/>
  <c r="V237" i="40" s="1"/>
  <c r="W238" i="40"/>
  <c r="V238" i="40" s="1"/>
  <c r="W239" i="40"/>
  <c r="V239" i="40" s="1"/>
  <c r="W240" i="40"/>
  <c r="V240" i="40" s="1"/>
  <c r="W241" i="40"/>
  <c r="V241" i="40" s="1"/>
  <c r="W242" i="40"/>
  <c r="V242" i="40" s="1"/>
  <c r="W243" i="40"/>
  <c r="V243" i="40" s="1"/>
  <c r="W244" i="40"/>
  <c r="V244" i="40" s="1"/>
  <c r="W245" i="40"/>
  <c r="V245" i="40" s="1"/>
  <c r="W246" i="40"/>
  <c r="V246" i="40" s="1"/>
  <c r="W247" i="40"/>
  <c r="V247" i="40" s="1"/>
  <c r="W248" i="40"/>
  <c r="V248" i="40" s="1"/>
  <c r="W249" i="40"/>
  <c r="V249" i="40" s="1"/>
  <c r="W250" i="40"/>
  <c r="V250" i="40" s="1"/>
  <c r="W251" i="40"/>
  <c r="V251" i="40" s="1"/>
  <c r="W252" i="40"/>
  <c r="V252" i="40" s="1"/>
  <c r="W253" i="40"/>
  <c r="V253" i="40" s="1"/>
  <c r="W254" i="40"/>
  <c r="V254" i="40" s="1"/>
  <c r="W255" i="40"/>
  <c r="V255" i="40" s="1"/>
  <c r="W256" i="40"/>
  <c r="V256" i="40" s="1"/>
  <c r="W257" i="40"/>
  <c r="V257" i="40" s="1"/>
  <c r="W258" i="40"/>
  <c r="V258" i="40" s="1"/>
  <c r="W259" i="40"/>
  <c r="V259" i="40" s="1"/>
  <c r="W260" i="40"/>
  <c r="V260" i="40" s="1"/>
  <c r="W261" i="40"/>
  <c r="V261" i="40" s="1"/>
  <c r="W262" i="40"/>
  <c r="V262" i="40" s="1"/>
  <c r="W263" i="40"/>
  <c r="V263" i="40" s="1"/>
  <c r="W264" i="40"/>
  <c r="V264" i="40" s="1"/>
  <c r="W265" i="40"/>
  <c r="V265" i="40" s="1"/>
  <c r="W266" i="40"/>
  <c r="V266" i="40" s="1"/>
  <c r="W267" i="40"/>
  <c r="V267" i="40" s="1"/>
  <c r="W268" i="40"/>
  <c r="V268" i="40" s="1"/>
  <c r="W269" i="40"/>
  <c r="V269" i="40" s="1"/>
  <c r="W270" i="40"/>
  <c r="V270" i="40" s="1"/>
  <c r="W271" i="40"/>
  <c r="V271" i="40" s="1"/>
  <c r="W272" i="40"/>
  <c r="V272" i="40" s="1"/>
  <c r="W273" i="40"/>
  <c r="V273" i="40" s="1"/>
  <c r="W274" i="40"/>
  <c r="V274" i="40" s="1"/>
  <c r="W275" i="40"/>
  <c r="V275" i="40" s="1"/>
  <c r="W276" i="40"/>
  <c r="V276" i="40" s="1"/>
  <c r="W277" i="40"/>
  <c r="V277" i="40" s="1"/>
  <c r="W278" i="40"/>
  <c r="V278" i="40" s="1"/>
  <c r="W279" i="40"/>
  <c r="V279" i="40" s="1"/>
  <c r="W280" i="40"/>
  <c r="V280" i="40" s="1"/>
  <c r="W281" i="40"/>
  <c r="V281" i="40" s="1"/>
  <c r="W282" i="40"/>
  <c r="V282" i="40" s="1"/>
  <c r="W283" i="40"/>
  <c r="V283" i="40" s="1"/>
  <c r="W284" i="40"/>
  <c r="V284" i="40" s="1"/>
  <c r="W285" i="40"/>
  <c r="V285" i="40" s="1"/>
  <c r="W286" i="40"/>
  <c r="V286" i="40" s="1"/>
  <c r="W287" i="40"/>
  <c r="V287" i="40" s="1"/>
  <c r="W288" i="40"/>
  <c r="V288" i="40" s="1"/>
  <c r="W289" i="40"/>
  <c r="V289" i="40" s="1"/>
  <c r="W290" i="40"/>
  <c r="V290" i="40" s="1"/>
  <c r="W291" i="40"/>
  <c r="V291" i="40" s="1"/>
  <c r="W292" i="40"/>
  <c r="V292" i="40" s="1"/>
  <c r="W293" i="40"/>
  <c r="V293" i="40" s="1"/>
  <c r="W294" i="40"/>
  <c r="V294" i="40" s="1"/>
  <c r="W295" i="40"/>
  <c r="V295" i="40" s="1"/>
  <c r="W296" i="40"/>
  <c r="V296" i="40" s="1"/>
  <c r="W297" i="40"/>
  <c r="V297" i="40" s="1"/>
  <c r="W298" i="40"/>
  <c r="V298" i="40" s="1"/>
  <c r="W299" i="40"/>
  <c r="V299" i="40" s="1"/>
  <c r="W300" i="40"/>
  <c r="V300" i="40" s="1"/>
  <c r="W301" i="40"/>
  <c r="V301" i="40" s="1"/>
  <c r="W302" i="40"/>
  <c r="V302" i="40" s="1"/>
  <c r="W303" i="40"/>
  <c r="V303" i="40" s="1"/>
  <c r="W304" i="40"/>
  <c r="V304" i="40" s="1"/>
  <c r="W305" i="40"/>
  <c r="V305" i="40" s="1"/>
  <c r="W306" i="40"/>
  <c r="V306" i="40" s="1"/>
  <c r="W307" i="40"/>
  <c r="V307" i="40" s="1"/>
  <c r="W308" i="40"/>
  <c r="V308" i="40" s="1"/>
  <c r="W309" i="40"/>
  <c r="V309" i="40" s="1"/>
  <c r="W310" i="40"/>
  <c r="V310" i="40" s="1"/>
  <c r="W311" i="40"/>
  <c r="V311" i="40" s="1"/>
  <c r="W312" i="40"/>
  <c r="V312" i="40" s="1"/>
  <c r="W313" i="40"/>
  <c r="V313" i="40" s="1"/>
  <c r="W314" i="40"/>
  <c r="V314" i="40" s="1"/>
  <c r="W315" i="40"/>
  <c r="V315" i="40" s="1"/>
  <c r="W316" i="40"/>
  <c r="V316" i="40" s="1"/>
  <c r="W317" i="40"/>
  <c r="V317" i="40" s="1"/>
  <c r="W318" i="40"/>
  <c r="V318" i="40" s="1"/>
  <c r="W319" i="40"/>
  <c r="V319" i="40" s="1"/>
  <c r="W320" i="40"/>
  <c r="V320" i="40" s="1"/>
  <c r="W321" i="40"/>
  <c r="V321" i="40" s="1"/>
  <c r="W322" i="40"/>
  <c r="V322" i="40" s="1"/>
  <c r="W323" i="40"/>
  <c r="V323" i="40" s="1"/>
  <c r="W324" i="40"/>
  <c r="V324" i="40" s="1"/>
  <c r="W325" i="40"/>
  <c r="V325" i="40" s="1"/>
  <c r="W326" i="40"/>
  <c r="V326" i="40" s="1"/>
  <c r="W327" i="40"/>
  <c r="V327" i="40" s="1"/>
  <c r="W328" i="40"/>
  <c r="V328" i="40" s="1"/>
  <c r="W329" i="40"/>
  <c r="V329" i="40" s="1"/>
  <c r="W330" i="40"/>
  <c r="V330" i="40" s="1"/>
  <c r="W331" i="40"/>
  <c r="V331" i="40" s="1"/>
  <c r="W332" i="40"/>
  <c r="V332" i="40" s="1"/>
  <c r="W333" i="40"/>
  <c r="V333" i="40" s="1"/>
  <c r="W334" i="40"/>
  <c r="V334" i="40" s="1"/>
  <c r="W335" i="40"/>
  <c r="V335" i="40" s="1"/>
  <c r="W336" i="40"/>
  <c r="V336" i="40" s="1"/>
  <c r="W337" i="40"/>
  <c r="V337" i="40" s="1"/>
  <c r="W338" i="40"/>
  <c r="V338" i="40" s="1"/>
  <c r="W339" i="40"/>
  <c r="V339" i="40" s="1"/>
  <c r="W340" i="40"/>
  <c r="V340" i="40" s="1"/>
  <c r="W341" i="40"/>
  <c r="V341" i="40" s="1"/>
  <c r="W342" i="40"/>
  <c r="V342" i="40" s="1"/>
  <c r="W343" i="40"/>
  <c r="V343" i="40" s="1"/>
  <c r="W344" i="40"/>
  <c r="V344" i="40" s="1"/>
  <c r="W345" i="40"/>
  <c r="V345" i="40" s="1"/>
  <c r="W346" i="40"/>
  <c r="V346" i="40" s="1"/>
  <c r="W347" i="40"/>
  <c r="V347" i="40" s="1"/>
  <c r="W348" i="40"/>
  <c r="V348" i="40" s="1"/>
  <c r="W349" i="40"/>
  <c r="V349" i="40" s="1"/>
  <c r="W350" i="40"/>
  <c r="V350" i="40" s="1"/>
  <c r="W351" i="40"/>
  <c r="V351" i="40" s="1"/>
  <c r="W352" i="40"/>
  <c r="V352" i="40" s="1"/>
  <c r="W353" i="40"/>
  <c r="V353" i="40" s="1"/>
  <c r="W354" i="40"/>
  <c r="V354" i="40" s="1"/>
  <c r="W355" i="40"/>
  <c r="V355" i="40" s="1"/>
  <c r="W356" i="40"/>
  <c r="V356" i="40" s="1"/>
  <c r="W357" i="40"/>
  <c r="V357" i="40" s="1"/>
  <c r="W358" i="40"/>
  <c r="V358" i="40" s="1"/>
  <c r="W359" i="40"/>
  <c r="V359" i="40" s="1"/>
  <c r="W360" i="40"/>
  <c r="V360" i="40" s="1"/>
  <c r="W361" i="40"/>
  <c r="V361" i="40" s="1"/>
  <c r="W362" i="40"/>
  <c r="V362" i="40" s="1"/>
  <c r="W363" i="40"/>
  <c r="V363" i="40" s="1"/>
  <c r="W364" i="40"/>
  <c r="V364" i="40" s="1"/>
  <c r="W365" i="40"/>
  <c r="V365" i="40" s="1"/>
  <c r="W366" i="40"/>
  <c r="V366" i="40" s="1"/>
  <c r="W367" i="40"/>
  <c r="V367" i="40" s="1"/>
  <c r="W368" i="40"/>
  <c r="V368" i="40" s="1"/>
  <c r="W369" i="40"/>
  <c r="V369" i="40" s="1"/>
  <c r="W370" i="40"/>
  <c r="V370" i="40" s="1"/>
  <c r="W371" i="40"/>
  <c r="V371" i="40" s="1"/>
  <c r="W372" i="40"/>
  <c r="V372" i="40" s="1"/>
  <c r="W373" i="40"/>
  <c r="V373" i="40" s="1"/>
  <c r="W374" i="40"/>
  <c r="V374" i="40" s="1"/>
  <c r="W375" i="40"/>
  <c r="V375" i="40" s="1"/>
  <c r="W376" i="40"/>
  <c r="V376" i="40" s="1"/>
  <c r="W377" i="40"/>
  <c r="V377" i="40" s="1"/>
  <c r="W378" i="40"/>
  <c r="V378" i="40" s="1"/>
  <c r="W379" i="40"/>
  <c r="V379" i="40" s="1"/>
  <c r="W380" i="40"/>
  <c r="V380" i="40" s="1"/>
  <c r="W381" i="40"/>
  <c r="V381" i="40" s="1"/>
  <c r="W382" i="40"/>
  <c r="V382" i="40" s="1"/>
  <c r="W383" i="40"/>
  <c r="V383" i="40" s="1"/>
  <c r="W384" i="40"/>
  <c r="V384" i="40" s="1"/>
  <c r="W385" i="40"/>
  <c r="V385" i="40" s="1"/>
  <c r="W386" i="40"/>
  <c r="V386" i="40" s="1"/>
  <c r="W387" i="40"/>
  <c r="V387" i="40" s="1"/>
  <c r="W388" i="40"/>
  <c r="V388" i="40" s="1"/>
  <c r="W389" i="40"/>
  <c r="V389" i="40" s="1"/>
  <c r="W390" i="40"/>
  <c r="V390" i="40" s="1"/>
  <c r="W391" i="40"/>
  <c r="V391" i="40" s="1"/>
  <c r="W392" i="40"/>
  <c r="V392" i="40" s="1"/>
  <c r="W393" i="40"/>
  <c r="V393" i="40" s="1"/>
  <c r="W394" i="40"/>
  <c r="V394" i="40" s="1"/>
  <c r="W395" i="40"/>
  <c r="V395" i="40" s="1"/>
  <c r="W396" i="40"/>
  <c r="V396" i="40" s="1"/>
  <c r="W397" i="40"/>
  <c r="V397" i="40" s="1"/>
  <c r="W398" i="40"/>
  <c r="V398" i="40" s="1"/>
  <c r="W399" i="40"/>
  <c r="V399" i="40" s="1"/>
  <c r="W400" i="40"/>
  <c r="V400" i="40" s="1"/>
  <c r="W401" i="40"/>
  <c r="V401" i="40" s="1"/>
  <c r="W402" i="40"/>
  <c r="V402" i="40" s="1"/>
  <c r="W403" i="40"/>
  <c r="V403" i="40" s="1"/>
  <c r="W404" i="40"/>
  <c r="V404" i="40" s="1"/>
  <c r="W405" i="40"/>
  <c r="V405" i="40" s="1"/>
  <c r="W406" i="40"/>
  <c r="V406" i="40" s="1"/>
  <c r="W407" i="40"/>
  <c r="V407" i="40" s="1"/>
  <c r="W408" i="40"/>
  <c r="V408" i="40" s="1"/>
  <c r="W409" i="40"/>
  <c r="V409" i="40" s="1"/>
  <c r="W410" i="40"/>
  <c r="V410" i="40" s="1"/>
  <c r="W411" i="40"/>
  <c r="V411" i="40" s="1"/>
  <c r="W412" i="40"/>
  <c r="V412" i="40" s="1"/>
  <c r="W413" i="40"/>
  <c r="V413" i="40" s="1"/>
  <c r="W414" i="40"/>
  <c r="V414" i="40" s="1"/>
  <c r="W415" i="40"/>
  <c r="V415" i="40" s="1"/>
  <c r="W416" i="40"/>
  <c r="V416" i="40" s="1"/>
  <c r="W417" i="40"/>
  <c r="V417" i="40" s="1"/>
  <c r="W418" i="40"/>
  <c r="V418" i="40" s="1"/>
  <c r="W419" i="40"/>
  <c r="V419" i="40" s="1"/>
  <c r="W420" i="40"/>
  <c r="V420" i="40" s="1"/>
  <c r="W421" i="40"/>
  <c r="V421" i="40" s="1"/>
  <c r="W422" i="40"/>
  <c r="V422" i="40" s="1"/>
  <c r="W423" i="40"/>
  <c r="V423" i="40" s="1"/>
  <c r="W424" i="40"/>
  <c r="V424" i="40" s="1"/>
  <c r="W425" i="40"/>
  <c r="V425" i="40" s="1"/>
  <c r="W426" i="40"/>
  <c r="V426" i="40" s="1"/>
  <c r="W427" i="40"/>
  <c r="V427" i="40" s="1"/>
  <c r="W428" i="40"/>
  <c r="V428" i="40" s="1"/>
  <c r="W429" i="40"/>
  <c r="V429" i="40" s="1"/>
  <c r="W430" i="40"/>
  <c r="V430" i="40" s="1"/>
  <c r="W431" i="40"/>
  <c r="V431" i="40" s="1"/>
  <c r="W432" i="40"/>
  <c r="V432" i="40" s="1"/>
  <c r="W433" i="40"/>
  <c r="V433" i="40" s="1"/>
  <c r="W434" i="40"/>
  <c r="V434" i="40" s="1"/>
  <c r="W435" i="40"/>
  <c r="V435" i="40" s="1"/>
  <c r="W436" i="40"/>
  <c r="V436" i="40" s="1"/>
  <c r="W437" i="40"/>
  <c r="V437" i="40" s="1"/>
  <c r="W438" i="40"/>
  <c r="V438" i="40" s="1"/>
  <c r="W439" i="40"/>
  <c r="V439" i="40" s="1"/>
  <c r="W440" i="40"/>
  <c r="V440" i="40" s="1"/>
  <c r="W441" i="40"/>
  <c r="V441" i="40" s="1"/>
  <c r="W442" i="40"/>
  <c r="V442" i="40" s="1"/>
  <c r="W443" i="40"/>
  <c r="V443" i="40" s="1"/>
  <c r="W444" i="40"/>
  <c r="V444" i="40" s="1"/>
  <c r="W445" i="40"/>
  <c r="V445" i="40" s="1"/>
  <c r="W446" i="40"/>
  <c r="V446" i="40" s="1"/>
  <c r="W447" i="40"/>
  <c r="V447" i="40" s="1"/>
  <c r="W448" i="40"/>
  <c r="V448" i="40" s="1"/>
  <c r="W449" i="40"/>
  <c r="V449" i="40" s="1"/>
  <c r="W450" i="40"/>
  <c r="V450" i="40" s="1"/>
  <c r="W451" i="40"/>
  <c r="V451" i="40" s="1"/>
  <c r="W452" i="40"/>
  <c r="V452" i="40" s="1"/>
  <c r="W453" i="40"/>
  <c r="V453" i="40" s="1"/>
  <c r="W454" i="40"/>
  <c r="V454" i="40" s="1"/>
  <c r="W455" i="40"/>
  <c r="V455" i="40" s="1"/>
  <c r="W456" i="40"/>
  <c r="V456" i="40" s="1"/>
  <c r="W457" i="40"/>
  <c r="V457" i="40" s="1"/>
  <c r="W458" i="40"/>
  <c r="V458" i="40" s="1"/>
  <c r="W459" i="40"/>
  <c r="V459" i="40" s="1"/>
  <c r="W460" i="40"/>
  <c r="V460" i="40" s="1"/>
  <c r="W461" i="40"/>
  <c r="V461" i="40" s="1"/>
  <c r="W462" i="40"/>
  <c r="V462" i="40" s="1"/>
  <c r="W463" i="40"/>
  <c r="V463" i="40" s="1"/>
  <c r="W464" i="40"/>
  <c r="V464" i="40" s="1"/>
  <c r="W465" i="40"/>
  <c r="V465" i="40" s="1"/>
  <c r="W466" i="40"/>
  <c r="V466" i="40" s="1"/>
  <c r="W467" i="40"/>
  <c r="V467" i="40" s="1"/>
  <c r="W468" i="40"/>
  <c r="V468" i="40" s="1"/>
  <c r="W469" i="40"/>
  <c r="V469" i="40" s="1"/>
  <c r="W470" i="40"/>
  <c r="V470" i="40" s="1"/>
  <c r="W471" i="40"/>
  <c r="V471" i="40" s="1"/>
  <c r="W472" i="40"/>
  <c r="V472" i="40" s="1"/>
  <c r="W473" i="40"/>
  <c r="V473" i="40" s="1"/>
  <c r="W474" i="40"/>
  <c r="V474" i="40" s="1"/>
  <c r="W475" i="40"/>
  <c r="V475" i="40" s="1"/>
  <c r="W476" i="40"/>
  <c r="V476" i="40" s="1"/>
  <c r="W477" i="40"/>
  <c r="V477" i="40" s="1"/>
  <c r="W478" i="40"/>
  <c r="V478" i="40" s="1"/>
  <c r="W479" i="40"/>
  <c r="V479" i="40" s="1"/>
  <c r="W480" i="40"/>
  <c r="V480" i="40" s="1"/>
  <c r="W481" i="40"/>
  <c r="V481" i="40" s="1"/>
  <c r="W482" i="40"/>
  <c r="V482" i="40" s="1"/>
  <c r="W483" i="40"/>
  <c r="V483" i="40" s="1"/>
  <c r="W484" i="40"/>
  <c r="V484" i="40" s="1"/>
  <c r="W485" i="40"/>
  <c r="V485" i="40" s="1"/>
  <c r="W486" i="40"/>
  <c r="V486" i="40" s="1"/>
  <c r="W487" i="40"/>
  <c r="V487" i="40" s="1"/>
  <c r="W488" i="40"/>
  <c r="V488" i="40" s="1"/>
  <c r="W489" i="40"/>
  <c r="V489" i="40" s="1"/>
  <c r="W490" i="40"/>
  <c r="V490" i="40" s="1"/>
  <c r="W491" i="40"/>
  <c r="V491" i="40" s="1"/>
  <c r="W492" i="40"/>
  <c r="V492" i="40" s="1"/>
  <c r="W493" i="40"/>
  <c r="V493" i="40" s="1"/>
  <c r="W494" i="40"/>
  <c r="V494" i="40" s="1"/>
  <c r="W495" i="40"/>
  <c r="V495" i="40" s="1"/>
  <c r="W496" i="40"/>
  <c r="V496" i="40" s="1"/>
  <c r="W497" i="40"/>
  <c r="V497" i="40" s="1"/>
  <c r="W498" i="40"/>
  <c r="V498" i="40" s="1"/>
  <c r="W499" i="40"/>
  <c r="V499" i="40" s="1"/>
  <c r="W500" i="40"/>
  <c r="V500" i="40" s="1"/>
  <c r="W3" i="40"/>
  <c r="X201" i="40"/>
  <c r="Y201" i="40"/>
  <c r="Z201" i="40"/>
  <c r="Y202" i="40"/>
  <c r="Z202" i="40"/>
  <c r="X202" i="40" s="1"/>
  <c r="Y203" i="40"/>
  <c r="Z203" i="40"/>
  <c r="X203" i="40" s="1"/>
  <c r="Y204" i="40"/>
  <c r="Z204" i="40"/>
  <c r="X204" i="40" s="1"/>
  <c r="Y205" i="40"/>
  <c r="Z205" i="40"/>
  <c r="X205" i="40" s="1"/>
  <c r="X206" i="40"/>
  <c r="Y206" i="40"/>
  <c r="Z206" i="40"/>
  <c r="Y207" i="40"/>
  <c r="Z207" i="40"/>
  <c r="X207" i="40" s="1"/>
  <c r="Y208" i="40"/>
  <c r="Z208" i="40"/>
  <c r="X208" i="40" s="1"/>
  <c r="X209" i="40"/>
  <c r="Y209" i="40"/>
  <c r="Z209" i="40"/>
  <c r="Y210" i="40"/>
  <c r="Z210" i="40"/>
  <c r="X210" i="40" s="1"/>
  <c r="Y211" i="40"/>
  <c r="Z211" i="40"/>
  <c r="X211" i="40" s="1"/>
  <c r="Y212" i="40"/>
  <c r="Z212" i="40"/>
  <c r="X212" i="40" s="1"/>
  <c r="Y213" i="40"/>
  <c r="Z213" i="40"/>
  <c r="X213" i="40" s="1"/>
  <c r="X214" i="40"/>
  <c r="Y214" i="40"/>
  <c r="Z214" i="40"/>
  <c r="Y215" i="40"/>
  <c r="Z215" i="40"/>
  <c r="X215" i="40" s="1"/>
  <c r="Y216" i="40"/>
  <c r="Z216" i="40"/>
  <c r="X216" i="40" s="1"/>
  <c r="X217" i="40"/>
  <c r="Y217" i="40"/>
  <c r="Z217" i="40"/>
  <c r="Y218" i="40"/>
  <c r="Z218" i="40"/>
  <c r="X218" i="40" s="1"/>
  <c r="Y219" i="40"/>
  <c r="Z219" i="40"/>
  <c r="X219" i="40" s="1"/>
  <c r="Y220" i="40"/>
  <c r="Z220" i="40"/>
  <c r="X220" i="40" s="1"/>
  <c r="Y221" i="40"/>
  <c r="Z221" i="40"/>
  <c r="X221" i="40" s="1"/>
  <c r="X222" i="40"/>
  <c r="Y222" i="40"/>
  <c r="Z222" i="40"/>
  <c r="Y223" i="40"/>
  <c r="Z223" i="40"/>
  <c r="X223" i="40" s="1"/>
  <c r="Y224" i="40"/>
  <c r="Z224" i="40"/>
  <c r="X224" i="40" s="1"/>
  <c r="X225" i="40"/>
  <c r="Y225" i="40"/>
  <c r="Z225" i="40"/>
  <c r="Y226" i="40"/>
  <c r="Z226" i="40"/>
  <c r="X226" i="40" s="1"/>
  <c r="Y227" i="40"/>
  <c r="Z227" i="40"/>
  <c r="X227" i="40" s="1"/>
  <c r="Y228" i="40"/>
  <c r="Z228" i="40"/>
  <c r="X228" i="40" s="1"/>
  <c r="Y229" i="40"/>
  <c r="Z229" i="40"/>
  <c r="X229" i="40" s="1"/>
  <c r="X230" i="40"/>
  <c r="Y230" i="40"/>
  <c r="Z230" i="40"/>
  <c r="Y231" i="40"/>
  <c r="Z231" i="40"/>
  <c r="X231" i="40" s="1"/>
  <c r="Y232" i="40"/>
  <c r="Z232" i="40"/>
  <c r="X232" i="40" s="1"/>
  <c r="X233" i="40"/>
  <c r="Y233" i="40"/>
  <c r="Z233" i="40"/>
  <c r="Y234" i="40"/>
  <c r="Z234" i="40"/>
  <c r="X234" i="40" s="1"/>
  <c r="Y235" i="40"/>
  <c r="Z235" i="40"/>
  <c r="X235" i="40" s="1"/>
  <c r="Y236" i="40"/>
  <c r="Z236" i="40"/>
  <c r="X236" i="40" s="1"/>
  <c r="Y237" i="40"/>
  <c r="Z237" i="40"/>
  <c r="X237" i="40" s="1"/>
  <c r="X238" i="40"/>
  <c r="Y238" i="40"/>
  <c r="Z238" i="40"/>
  <c r="Y239" i="40"/>
  <c r="Z239" i="40"/>
  <c r="X239" i="40" s="1"/>
  <c r="Y240" i="40"/>
  <c r="Z240" i="40"/>
  <c r="X240" i="40" s="1"/>
  <c r="X241" i="40"/>
  <c r="Y241" i="40"/>
  <c r="Z241" i="40"/>
  <c r="Y242" i="40"/>
  <c r="Z242" i="40"/>
  <c r="X242" i="40" s="1"/>
  <c r="Y243" i="40"/>
  <c r="Z243" i="40"/>
  <c r="X243" i="40" s="1"/>
  <c r="Y244" i="40"/>
  <c r="Z244" i="40"/>
  <c r="X244" i="40" s="1"/>
  <c r="Y245" i="40"/>
  <c r="Z245" i="40"/>
  <c r="X245" i="40" s="1"/>
  <c r="X246" i="40"/>
  <c r="Y246" i="40"/>
  <c r="Z246" i="40"/>
  <c r="Y247" i="40"/>
  <c r="Z247" i="40"/>
  <c r="X247" i="40" s="1"/>
  <c r="Y248" i="40"/>
  <c r="Z248" i="40"/>
  <c r="X248" i="40" s="1"/>
  <c r="Y249" i="40"/>
  <c r="Z249" i="40"/>
  <c r="X249" i="40" s="1"/>
  <c r="Y250" i="40"/>
  <c r="Z250" i="40"/>
  <c r="X250" i="40" s="1"/>
  <c r="X251" i="40"/>
  <c r="Y251" i="40"/>
  <c r="Z251" i="40"/>
  <c r="Y252" i="40"/>
  <c r="Z252" i="40"/>
  <c r="X252" i="40" s="1"/>
  <c r="Y253" i="40"/>
  <c r="Z253" i="40"/>
  <c r="X253" i="40" s="1"/>
  <c r="X254" i="40"/>
  <c r="Y254" i="40"/>
  <c r="Z254" i="40"/>
  <c r="Y255" i="40"/>
  <c r="Z255" i="40"/>
  <c r="X255" i="40" s="1"/>
  <c r="Y256" i="40"/>
  <c r="Z256" i="40"/>
  <c r="X256" i="40" s="1"/>
  <c r="X257" i="40"/>
  <c r="Y257" i="40"/>
  <c r="Z257" i="40"/>
  <c r="Y258" i="40"/>
  <c r="Z258" i="40"/>
  <c r="X258" i="40" s="1"/>
  <c r="Y259" i="40"/>
  <c r="Z259" i="40"/>
  <c r="X259" i="40" s="1"/>
  <c r="Y260" i="40"/>
  <c r="Z260" i="40"/>
  <c r="X260" i="40" s="1"/>
  <c r="Y261" i="40"/>
  <c r="Z261" i="40"/>
  <c r="X261" i="40" s="1"/>
  <c r="X262" i="40"/>
  <c r="Y262" i="40"/>
  <c r="Z262" i="40"/>
  <c r="Y263" i="40"/>
  <c r="Z263" i="40"/>
  <c r="X263" i="40" s="1"/>
  <c r="Y264" i="40"/>
  <c r="Z264" i="40"/>
  <c r="X264" i="40" s="1"/>
  <c r="Y265" i="40"/>
  <c r="Z265" i="40"/>
  <c r="X265" i="40" s="1"/>
  <c r="Y266" i="40"/>
  <c r="Z266" i="40"/>
  <c r="X266" i="40" s="1"/>
  <c r="X267" i="40"/>
  <c r="Y267" i="40"/>
  <c r="Z267" i="40"/>
  <c r="Y268" i="40"/>
  <c r="Z268" i="40"/>
  <c r="X268" i="40" s="1"/>
  <c r="Y269" i="40"/>
  <c r="Z269" i="40"/>
  <c r="X269" i="40" s="1"/>
  <c r="X270" i="40"/>
  <c r="Y270" i="40"/>
  <c r="Z270" i="40"/>
  <c r="Y271" i="40"/>
  <c r="Z271" i="40"/>
  <c r="X271" i="40" s="1"/>
  <c r="Y272" i="40"/>
  <c r="Z272" i="40"/>
  <c r="X272" i="40" s="1"/>
  <c r="X273" i="40"/>
  <c r="Y273" i="40"/>
  <c r="Z273" i="40"/>
  <c r="Y274" i="40"/>
  <c r="Z274" i="40"/>
  <c r="X274" i="40" s="1"/>
  <c r="Y275" i="40"/>
  <c r="Z275" i="40"/>
  <c r="X275" i="40" s="1"/>
  <c r="Y276" i="40"/>
  <c r="Z276" i="40"/>
  <c r="X276" i="40" s="1"/>
  <c r="Y277" i="40"/>
  <c r="Z277" i="40"/>
  <c r="X277" i="40" s="1"/>
  <c r="X278" i="40"/>
  <c r="Y278" i="40"/>
  <c r="Z278" i="40"/>
  <c r="Y279" i="40"/>
  <c r="Z279" i="40"/>
  <c r="X279" i="40" s="1"/>
  <c r="Y280" i="40"/>
  <c r="Z280" i="40"/>
  <c r="X280" i="40" s="1"/>
  <c r="Y281" i="40"/>
  <c r="Z281" i="40"/>
  <c r="X281" i="40" s="1"/>
  <c r="Y282" i="40"/>
  <c r="Z282" i="40"/>
  <c r="X282" i="40" s="1"/>
  <c r="X283" i="40"/>
  <c r="Y283" i="40"/>
  <c r="Z283" i="40"/>
  <c r="Y284" i="40"/>
  <c r="Z284" i="40"/>
  <c r="X284" i="40" s="1"/>
  <c r="Y285" i="40"/>
  <c r="Z285" i="40"/>
  <c r="X285" i="40" s="1"/>
  <c r="X286" i="40"/>
  <c r="Y286" i="40"/>
  <c r="Z286" i="40"/>
  <c r="Y287" i="40"/>
  <c r="Z287" i="40"/>
  <c r="X287" i="40" s="1"/>
  <c r="Y288" i="40"/>
  <c r="Z288" i="40"/>
  <c r="X288" i="40" s="1"/>
  <c r="X289" i="40"/>
  <c r="Y289" i="40"/>
  <c r="Z289" i="40"/>
  <c r="Y290" i="40"/>
  <c r="Z290" i="40"/>
  <c r="X290" i="40" s="1"/>
  <c r="Y291" i="40"/>
  <c r="Z291" i="40"/>
  <c r="X291" i="40" s="1"/>
  <c r="Y292" i="40"/>
  <c r="Z292" i="40"/>
  <c r="X292" i="40" s="1"/>
  <c r="Y293" i="40"/>
  <c r="Z293" i="40"/>
  <c r="X293" i="40" s="1"/>
  <c r="X294" i="40"/>
  <c r="Y294" i="40"/>
  <c r="Z294" i="40"/>
  <c r="Y295" i="40"/>
  <c r="Z295" i="40"/>
  <c r="X295" i="40" s="1"/>
  <c r="Y296" i="40"/>
  <c r="Z296" i="40"/>
  <c r="X296" i="40" s="1"/>
  <c r="Y297" i="40"/>
  <c r="Z297" i="40"/>
  <c r="X297" i="40" s="1"/>
  <c r="Y298" i="40"/>
  <c r="Z298" i="40"/>
  <c r="X298" i="40" s="1"/>
  <c r="X299" i="40"/>
  <c r="Y299" i="40"/>
  <c r="Z299" i="40"/>
  <c r="Y300" i="40"/>
  <c r="Z300" i="40"/>
  <c r="X300" i="40" s="1"/>
  <c r="Y301" i="40"/>
  <c r="Z301" i="40"/>
  <c r="X301" i="40" s="1"/>
  <c r="X302" i="40"/>
  <c r="Y302" i="40"/>
  <c r="Z302" i="40"/>
  <c r="Y303" i="40"/>
  <c r="Z303" i="40"/>
  <c r="X303" i="40" s="1"/>
  <c r="Y304" i="40"/>
  <c r="Z304" i="40"/>
  <c r="X304" i="40" s="1"/>
  <c r="X305" i="40"/>
  <c r="Y305" i="40"/>
  <c r="Z305" i="40"/>
  <c r="Y306" i="40"/>
  <c r="Z306" i="40"/>
  <c r="X306" i="40" s="1"/>
  <c r="Y307" i="40"/>
  <c r="Z307" i="40"/>
  <c r="X307" i="40" s="1"/>
  <c r="Y308" i="40"/>
  <c r="Z308" i="40"/>
  <c r="X308" i="40" s="1"/>
  <c r="Y309" i="40"/>
  <c r="Z309" i="40"/>
  <c r="X309" i="40" s="1"/>
  <c r="X310" i="40"/>
  <c r="Y310" i="40"/>
  <c r="Z310" i="40"/>
  <c r="Y311" i="40"/>
  <c r="Z311" i="40"/>
  <c r="X311" i="40" s="1"/>
  <c r="Y312" i="40"/>
  <c r="Z312" i="40"/>
  <c r="X312" i="40" s="1"/>
  <c r="Y313" i="40"/>
  <c r="Z313" i="40"/>
  <c r="X313" i="40" s="1"/>
  <c r="Y314" i="40"/>
  <c r="Z314" i="40"/>
  <c r="X314" i="40" s="1"/>
  <c r="X315" i="40"/>
  <c r="Y315" i="40"/>
  <c r="Z315" i="40"/>
  <c r="Y316" i="40"/>
  <c r="Z316" i="40"/>
  <c r="X316" i="40" s="1"/>
  <c r="Y317" i="40"/>
  <c r="Z317" i="40"/>
  <c r="X317" i="40" s="1"/>
  <c r="X318" i="40"/>
  <c r="Y318" i="40"/>
  <c r="Z318" i="40"/>
  <c r="Y319" i="40"/>
  <c r="Z319" i="40"/>
  <c r="X319" i="40" s="1"/>
  <c r="Y320" i="40"/>
  <c r="Z320" i="40"/>
  <c r="X320" i="40" s="1"/>
  <c r="X321" i="40"/>
  <c r="Y321" i="40"/>
  <c r="Z321" i="40"/>
  <c r="Y322" i="40"/>
  <c r="Z322" i="40"/>
  <c r="X322" i="40" s="1"/>
  <c r="Y323" i="40"/>
  <c r="Z323" i="40"/>
  <c r="X323" i="40" s="1"/>
  <c r="Y324" i="40"/>
  <c r="Z324" i="40"/>
  <c r="X324" i="40" s="1"/>
  <c r="Y325" i="40"/>
  <c r="Z325" i="40"/>
  <c r="X325" i="40" s="1"/>
  <c r="X326" i="40"/>
  <c r="Y326" i="40"/>
  <c r="Z326" i="40"/>
  <c r="Y327" i="40"/>
  <c r="Z327" i="40"/>
  <c r="X327" i="40" s="1"/>
  <c r="Y328" i="40"/>
  <c r="Z328" i="40"/>
  <c r="X328" i="40" s="1"/>
  <c r="Y329" i="40"/>
  <c r="Z329" i="40"/>
  <c r="X329" i="40" s="1"/>
  <c r="Y330" i="40"/>
  <c r="Z330" i="40"/>
  <c r="X330" i="40" s="1"/>
  <c r="X331" i="40"/>
  <c r="Y331" i="40"/>
  <c r="Z331" i="40"/>
  <c r="Y332" i="40"/>
  <c r="Z332" i="40"/>
  <c r="X332" i="40" s="1"/>
  <c r="Y333" i="40"/>
  <c r="Z333" i="40"/>
  <c r="X333" i="40" s="1"/>
  <c r="X334" i="40"/>
  <c r="Y334" i="40"/>
  <c r="Z334" i="40"/>
  <c r="Y335" i="40"/>
  <c r="Z335" i="40"/>
  <c r="X335" i="40" s="1"/>
  <c r="Y336" i="40"/>
  <c r="Z336" i="40"/>
  <c r="X336" i="40" s="1"/>
  <c r="X337" i="40"/>
  <c r="Y337" i="40"/>
  <c r="Z337" i="40"/>
  <c r="Y338" i="40"/>
  <c r="Z338" i="40"/>
  <c r="X338" i="40" s="1"/>
  <c r="Y339" i="40"/>
  <c r="Z339" i="40"/>
  <c r="X339" i="40" s="1"/>
  <c r="Y340" i="40"/>
  <c r="Z340" i="40"/>
  <c r="X340" i="40" s="1"/>
  <c r="Y341" i="40"/>
  <c r="Z341" i="40"/>
  <c r="X341" i="40" s="1"/>
  <c r="X342" i="40"/>
  <c r="Y342" i="40"/>
  <c r="Z342" i="40"/>
  <c r="Y343" i="40"/>
  <c r="Z343" i="40"/>
  <c r="X343" i="40" s="1"/>
  <c r="Y344" i="40"/>
  <c r="Z344" i="40"/>
  <c r="X344" i="40" s="1"/>
  <c r="Y345" i="40"/>
  <c r="Z345" i="40"/>
  <c r="X345" i="40" s="1"/>
  <c r="Y346" i="40"/>
  <c r="Z346" i="40"/>
  <c r="X346" i="40" s="1"/>
  <c r="X347" i="40"/>
  <c r="Y347" i="40"/>
  <c r="Z347" i="40"/>
  <c r="Y348" i="40"/>
  <c r="Z348" i="40"/>
  <c r="X348" i="40" s="1"/>
  <c r="Y349" i="40"/>
  <c r="Z349" i="40"/>
  <c r="X349" i="40" s="1"/>
  <c r="X350" i="40"/>
  <c r="Y350" i="40"/>
  <c r="Z350" i="40"/>
  <c r="Y351" i="40"/>
  <c r="Z351" i="40"/>
  <c r="X351" i="40" s="1"/>
  <c r="Y352" i="40"/>
  <c r="Z352" i="40"/>
  <c r="X352" i="40" s="1"/>
  <c r="X353" i="40"/>
  <c r="Y353" i="40"/>
  <c r="Z353" i="40"/>
  <c r="Y354" i="40"/>
  <c r="Z354" i="40"/>
  <c r="X354" i="40" s="1"/>
  <c r="Y355" i="40"/>
  <c r="Z355" i="40"/>
  <c r="X355" i="40" s="1"/>
  <c r="Y356" i="40"/>
  <c r="Z356" i="40"/>
  <c r="X356" i="40" s="1"/>
  <c r="Y357" i="40"/>
  <c r="Z357" i="40"/>
  <c r="X357" i="40" s="1"/>
  <c r="X358" i="40"/>
  <c r="Y358" i="40"/>
  <c r="Z358" i="40"/>
  <c r="Y359" i="40"/>
  <c r="Z359" i="40"/>
  <c r="X359" i="40" s="1"/>
  <c r="Y360" i="40"/>
  <c r="Z360" i="40"/>
  <c r="X360" i="40" s="1"/>
  <c r="Y361" i="40"/>
  <c r="Z361" i="40"/>
  <c r="X361" i="40" s="1"/>
  <c r="Y362" i="40"/>
  <c r="Z362" i="40"/>
  <c r="X362" i="40" s="1"/>
  <c r="X363" i="40"/>
  <c r="Y363" i="40"/>
  <c r="Z363" i="40"/>
  <c r="Y364" i="40"/>
  <c r="Z364" i="40"/>
  <c r="X364" i="40" s="1"/>
  <c r="Y365" i="40"/>
  <c r="Z365" i="40"/>
  <c r="X365" i="40" s="1"/>
  <c r="X366" i="40"/>
  <c r="Y366" i="40"/>
  <c r="Z366" i="40"/>
  <c r="Y367" i="40"/>
  <c r="Z367" i="40"/>
  <c r="X367" i="40" s="1"/>
  <c r="Y368" i="40"/>
  <c r="Z368" i="40"/>
  <c r="X368" i="40" s="1"/>
  <c r="X369" i="40"/>
  <c r="Y369" i="40"/>
  <c r="Z369" i="40"/>
  <c r="Y370" i="40"/>
  <c r="Z370" i="40"/>
  <c r="X370" i="40" s="1"/>
  <c r="Y371" i="40"/>
  <c r="Z371" i="40"/>
  <c r="X371" i="40" s="1"/>
  <c r="Y372" i="40"/>
  <c r="Z372" i="40"/>
  <c r="X372" i="40" s="1"/>
  <c r="Y373" i="40"/>
  <c r="Z373" i="40"/>
  <c r="X373" i="40" s="1"/>
  <c r="X374" i="40"/>
  <c r="Y374" i="40"/>
  <c r="Z374" i="40"/>
  <c r="Y375" i="40"/>
  <c r="Z375" i="40"/>
  <c r="X375" i="40" s="1"/>
  <c r="Y376" i="40"/>
  <c r="Z376" i="40"/>
  <c r="X376" i="40" s="1"/>
  <c r="Y377" i="40"/>
  <c r="Z377" i="40"/>
  <c r="X377" i="40" s="1"/>
  <c r="Y378" i="40"/>
  <c r="Z378" i="40"/>
  <c r="X378" i="40" s="1"/>
  <c r="X379" i="40"/>
  <c r="Y379" i="40"/>
  <c r="Z379" i="40"/>
  <c r="Y380" i="40"/>
  <c r="Z380" i="40"/>
  <c r="X380" i="40" s="1"/>
  <c r="Y381" i="40"/>
  <c r="Z381" i="40"/>
  <c r="X381" i="40" s="1"/>
  <c r="X382" i="40"/>
  <c r="Y382" i="40"/>
  <c r="Z382" i="40"/>
  <c r="Y383" i="40"/>
  <c r="Z383" i="40"/>
  <c r="X383" i="40" s="1"/>
  <c r="Y384" i="40"/>
  <c r="Z384" i="40"/>
  <c r="X384" i="40" s="1"/>
  <c r="X385" i="40"/>
  <c r="Y385" i="40"/>
  <c r="Z385" i="40"/>
  <c r="Y386" i="40"/>
  <c r="Z386" i="40"/>
  <c r="X386" i="40" s="1"/>
  <c r="Y387" i="40"/>
  <c r="Z387" i="40"/>
  <c r="X387" i="40" s="1"/>
  <c r="Y388" i="40"/>
  <c r="Z388" i="40"/>
  <c r="X388" i="40" s="1"/>
  <c r="Y389" i="40"/>
  <c r="Z389" i="40"/>
  <c r="X389" i="40" s="1"/>
  <c r="X390" i="40"/>
  <c r="Y390" i="40"/>
  <c r="Z390" i="40"/>
  <c r="Y391" i="40"/>
  <c r="Z391" i="40"/>
  <c r="X391" i="40" s="1"/>
  <c r="Y392" i="40"/>
  <c r="Z392" i="40"/>
  <c r="X392" i="40" s="1"/>
  <c r="Y393" i="40"/>
  <c r="Z393" i="40"/>
  <c r="X393" i="40" s="1"/>
  <c r="Y394" i="40"/>
  <c r="Z394" i="40"/>
  <c r="X394" i="40" s="1"/>
  <c r="X395" i="40"/>
  <c r="Y395" i="40"/>
  <c r="Z395" i="40"/>
  <c r="Y396" i="40"/>
  <c r="Z396" i="40"/>
  <c r="X396" i="40" s="1"/>
  <c r="Y397" i="40"/>
  <c r="Z397" i="40"/>
  <c r="X397" i="40" s="1"/>
  <c r="X398" i="40"/>
  <c r="Y398" i="40"/>
  <c r="Z398" i="40"/>
  <c r="Y399" i="40"/>
  <c r="Z399" i="40"/>
  <c r="X399" i="40" s="1"/>
  <c r="Y400" i="40"/>
  <c r="Z400" i="40"/>
  <c r="X400" i="40" s="1"/>
  <c r="X401" i="40"/>
  <c r="Y401" i="40"/>
  <c r="Z401" i="40"/>
  <c r="Y402" i="40"/>
  <c r="Z402" i="40"/>
  <c r="X402" i="40" s="1"/>
  <c r="Y403" i="40"/>
  <c r="Z403" i="40"/>
  <c r="X403" i="40" s="1"/>
  <c r="Y404" i="40"/>
  <c r="Z404" i="40"/>
  <c r="X404" i="40" s="1"/>
  <c r="Y405" i="40"/>
  <c r="Z405" i="40"/>
  <c r="X405" i="40" s="1"/>
  <c r="X406" i="40"/>
  <c r="Y406" i="40"/>
  <c r="Z406" i="40"/>
  <c r="Y407" i="40"/>
  <c r="Z407" i="40"/>
  <c r="X407" i="40" s="1"/>
  <c r="Y408" i="40"/>
  <c r="Z408" i="40"/>
  <c r="X408" i="40" s="1"/>
  <c r="Y409" i="40"/>
  <c r="Z409" i="40"/>
  <c r="X409" i="40" s="1"/>
  <c r="Y410" i="40"/>
  <c r="Z410" i="40"/>
  <c r="X410" i="40" s="1"/>
  <c r="X411" i="40"/>
  <c r="Y411" i="40"/>
  <c r="Z411" i="40"/>
  <c r="Y412" i="40"/>
  <c r="Z412" i="40"/>
  <c r="X412" i="40" s="1"/>
  <c r="Y413" i="40"/>
  <c r="Z413" i="40"/>
  <c r="X413" i="40" s="1"/>
  <c r="X414" i="40"/>
  <c r="Y414" i="40"/>
  <c r="Z414" i="40"/>
  <c r="Y415" i="40"/>
  <c r="Z415" i="40"/>
  <c r="X415" i="40" s="1"/>
  <c r="Y416" i="40"/>
  <c r="Z416" i="40"/>
  <c r="X416" i="40" s="1"/>
  <c r="X417" i="40"/>
  <c r="Y417" i="40"/>
  <c r="Z417" i="40"/>
  <c r="Y418" i="40"/>
  <c r="Z418" i="40"/>
  <c r="X418" i="40" s="1"/>
  <c r="Y419" i="40"/>
  <c r="Z419" i="40"/>
  <c r="X419" i="40" s="1"/>
  <c r="Y420" i="40"/>
  <c r="Z420" i="40"/>
  <c r="X420" i="40" s="1"/>
  <c r="Y421" i="40"/>
  <c r="Z421" i="40"/>
  <c r="X421" i="40" s="1"/>
  <c r="X422" i="40"/>
  <c r="Y422" i="40"/>
  <c r="Z422" i="40"/>
  <c r="Y423" i="40"/>
  <c r="Z423" i="40"/>
  <c r="X423" i="40" s="1"/>
  <c r="Y424" i="40"/>
  <c r="Z424" i="40"/>
  <c r="X424" i="40" s="1"/>
  <c r="Y425" i="40"/>
  <c r="Z425" i="40"/>
  <c r="X425" i="40" s="1"/>
  <c r="Y426" i="40"/>
  <c r="Z426" i="40"/>
  <c r="X426" i="40" s="1"/>
  <c r="X427" i="40"/>
  <c r="Y427" i="40"/>
  <c r="Z427" i="40"/>
  <c r="Y428" i="40"/>
  <c r="Z428" i="40"/>
  <c r="X428" i="40" s="1"/>
  <c r="Y429" i="40"/>
  <c r="Z429" i="40"/>
  <c r="X429" i="40" s="1"/>
  <c r="X430" i="40"/>
  <c r="Y430" i="40"/>
  <c r="Z430" i="40"/>
  <c r="Y431" i="40"/>
  <c r="Z431" i="40"/>
  <c r="X431" i="40" s="1"/>
  <c r="Y432" i="40"/>
  <c r="Z432" i="40"/>
  <c r="X432" i="40" s="1"/>
  <c r="X433" i="40"/>
  <c r="Y433" i="40"/>
  <c r="Z433" i="40"/>
  <c r="Y434" i="40"/>
  <c r="Z434" i="40"/>
  <c r="X434" i="40" s="1"/>
  <c r="Y435" i="40"/>
  <c r="Z435" i="40"/>
  <c r="X435" i="40" s="1"/>
  <c r="Y436" i="40"/>
  <c r="Z436" i="40"/>
  <c r="X436" i="40" s="1"/>
  <c r="Y437" i="40"/>
  <c r="Z437" i="40"/>
  <c r="X437" i="40" s="1"/>
  <c r="X438" i="40"/>
  <c r="Y438" i="40"/>
  <c r="Z438" i="40"/>
  <c r="Y439" i="40"/>
  <c r="Z439" i="40"/>
  <c r="X439" i="40" s="1"/>
  <c r="Y440" i="40"/>
  <c r="Z440" i="40"/>
  <c r="X440" i="40" s="1"/>
  <c r="Y441" i="40"/>
  <c r="Z441" i="40"/>
  <c r="X441" i="40" s="1"/>
  <c r="Y442" i="40"/>
  <c r="Z442" i="40"/>
  <c r="X442" i="40" s="1"/>
  <c r="X443" i="40"/>
  <c r="Y443" i="40"/>
  <c r="Z443" i="40"/>
  <c r="Y444" i="40"/>
  <c r="Z444" i="40"/>
  <c r="X444" i="40" s="1"/>
  <c r="Y445" i="40"/>
  <c r="Z445" i="40"/>
  <c r="X445" i="40" s="1"/>
  <c r="X446" i="40"/>
  <c r="Y446" i="40"/>
  <c r="Z446" i="40"/>
  <c r="Y447" i="40"/>
  <c r="Z447" i="40"/>
  <c r="X447" i="40" s="1"/>
  <c r="Y448" i="40"/>
  <c r="Z448" i="40"/>
  <c r="X448" i="40" s="1"/>
  <c r="X449" i="40"/>
  <c r="Y449" i="40"/>
  <c r="Z449" i="40"/>
  <c r="Y450" i="40"/>
  <c r="Z450" i="40"/>
  <c r="X450" i="40" s="1"/>
  <c r="Y451" i="40"/>
  <c r="Z451" i="40"/>
  <c r="X451" i="40" s="1"/>
  <c r="Y452" i="40"/>
  <c r="Z452" i="40"/>
  <c r="X452" i="40" s="1"/>
  <c r="Y453" i="40"/>
  <c r="Z453" i="40"/>
  <c r="X453" i="40" s="1"/>
  <c r="X454" i="40"/>
  <c r="Y454" i="40"/>
  <c r="Z454" i="40"/>
  <c r="Y455" i="40"/>
  <c r="Z455" i="40"/>
  <c r="X455" i="40" s="1"/>
  <c r="Y456" i="40"/>
  <c r="Z456" i="40"/>
  <c r="X456" i="40" s="1"/>
  <c r="Y457" i="40"/>
  <c r="Z457" i="40"/>
  <c r="X457" i="40" s="1"/>
  <c r="Y458" i="40"/>
  <c r="Z458" i="40"/>
  <c r="X458" i="40" s="1"/>
  <c r="X459" i="40"/>
  <c r="Y459" i="40"/>
  <c r="Z459" i="40"/>
  <c r="Y460" i="40"/>
  <c r="Z460" i="40"/>
  <c r="X460" i="40" s="1"/>
  <c r="Y461" i="40"/>
  <c r="Z461" i="40"/>
  <c r="X461" i="40" s="1"/>
  <c r="X462" i="40"/>
  <c r="Y462" i="40"/>
  <c r="Z462" i="40"/>
  <c r="Y463" i="40"/>
  <c r="Z463" i="40"/>
  <c r="X463" i="40" s="1"/>
  <c r="Y464" i="40"/>
  <c r="Z464" i="40"/>
  <c r="X464" i="40" s="1"/>
  <c r="X465" i="40"/>
  <c r="Y465" i="40"/>
  <c r="Z465" i="40"/>
  <c r="Y466" i="40"/>
  <c r="Z466" i="40"/>
  <c r="X466" i="40" s="1"/>
  <c r="Y467" i="40"/>
  <c r="Z467" i="40"/>
  <c r="X467" i="40" s="1"/>
  <c r="Y468" i="40"/>
  <c r="Z468" i="40"/>
  <c r="X468" i="40" s="1"/>
  <c r="Y469" i="40"/>
  <c r="Z469" i="40"/>
  <c r="X469" i="40" s="1"/>
  <c r="X470" i="40"/>
  <c r="Y470" i="40"/>
  <c r="Z470" i="40"/>
  <c r="Y471" i="40"/>
  <c r="Z471" i="40"/>
  <c r="X471" i="40" s="1"/>
  <c r="Y472" i="40"/>
  <c r="Z472" i="40"/>
  <c r="X472" i="40" s="1"/>
  <c r="Y473" i="40"/>
  <c r="Z473" i="40"/>
  <c r="X473" i="40" s="1"/>
  <c r="Y474" i="40"/>
  <c r="Z474" i="40"/>
  <c r="X474" i="40" s="1"/>
  <c r="X475" i="40"/>
  <c r="Y475" i="40"/>
  <c r="Z475" i="40"/>
  <c r="Y476" i="40"/>
  <c r="Z476" i="40"/>
  <c r="X476" i="40" s="1"/>
  <c r="Y477" i="40"/>
  <c r="Z477" i="40"/>
  <c r="X477" i="40" s="1"/>
  <c r="X478" i="40"/>
  <c r="Y478" i="40"/>
  <c r="Z478" i="40"/>
  <c r="Y479" i="40"/>
  <c r="Z479" i="40"/>
  <c r="X479" i="40" s="1"/>
  <c r="Y480" i="40"/>
  <c r="Z480" i="40"/>
  <c r="X480" i="40" s="1"/>
  <c r="X481" i="40"/>
  <c r="Y481" i="40"/>
  <c r="Z481" i="40"/>
  <c r="Y482" i="40"/>
  <c r="Z482" i="40"/>
  <c r="X482" i="40" s="1"/>
  <c r="Y483" i="40"/>
  <c r="Z483" i="40"/>
  <c r="X483" i="40" s="1"/>
  <c r="Y484" i="40"/>
  <c r="Z484" i="40"/>
  <c r="X484" i="40" s="1"/>
  <c r="Y485" i="40"/>
  <c r="Z485" i="40"/>
  <c r="X485" i="40" s="1"/>
  <c r="X486" i="40"/>
  <c r="Y486" i="40"/>
  <c r="Z486" i="40"/>
  <c r="Y487" i="40"/>
  <c r="Z487" i="40"/>
  <c r="X487" i="40" s="1"/>
  <c r="Y488" i="40"/>
  <c r="Z488" i="40"/>
  <c r="X488" i="40" s="1"/>
  <c r="Y489" i="40"/>
  <c r="Z489" i="40"/>
  <c r="X489" i="40" s="1"/>
  <c r="Y490" i="40"/>
  <c r="Z490" i="40"/>
  <c r="X490" i="40" s="1"/>
  <c r="X491" i="40"/>
  <c r="Y491" i="40"/>
  <c r="Z491" i="40"/>
  <c r="Y492" i="40"/>
  <c r="Z492" i="40"/>
  <c r="X492" i="40" s="1"/>
  <c r="Y493" i="40"/>
  <c r="Z493" i="40"/>
  <c r="X493" i="40" s="1"/>
  <c r="X494" i="40"/>
  <c r="Y494" i="40"/>
  <c r="Z494" i="40"/>
  <c r="Y495" i="40"/>
  <c r="Z495" i="40"/>
  <c r="X495" i="40" s="1"/>
  <c r="Y496" i="40"/>
  <c r="Z496" i="40"/>
  <c r="X496" i="40" s="1"/>
  <c r="X497" i="40"/>
  <c r="Y497" i="40"/>
  <c r="Z497" i="40"/>
  <c r="Y498" i="40"/>
  <c r="Z498" i="40"/>
  <c r="X498" i="40" s="1"/>
  <c r="Y499" i="40"/>
  <c r="Z499" i="40"/>
  <c r="X499" i="40" s="1"/>
  <c r="Y500" i="40"/>
  <c r="Z500" i="40"/>
  <c r="X500" i="40" s="1"/>
  <c r="V91" i="40" l="1"/>
  <c r="U91" i="40"/>
  <c r="V75" i="40"/>
  <c r="U75" i="40"/>
  <c r="V59" i="40"/>
  <c r="U59" i="40"/>
  <c r="V11" i="40"/>
  <c r="U11" i="40"/>
  <c r="V90" i="40"/>
  <c r="U90" i="40"/>
  <c r="V74" i="40"/>
  <c r="U74" i="40"/>
  <c r="V58" i="40"/>
  <c r="U58" i="40"/>
  <c r="V42" i="40"/>
  <c r="U42" i="40"/>
  <c r="V26" i="40"/>
  <c r="U26" i="40"/>
  <c r="V10" i="40"/>
  <c r="U10" i="40"/>
  <c r="V97" i="40"/>
  <c r="U97" i="40"/>
  <c r="V89" i="40"/>
  <c r="U89" i="40"/>
  <c r="V81" i="40"/>
  <c r="U81" i="40"/>
  <c r="V73" i="40"/>
  <c r="U73" i="40"/>
  <c r="V65" i="40"/>
  <c r="U65" i="40"/>
  <c r="V57" i="40"/>
  <c r="U57" i="40"/>
  <c r="V49" i="40"/>
  <c r="U49" i="40"/>
  <c r="V41" i="40"/>
  <c r="U41" i="40"/>
  <c r="V33" i="40"/>
  <c r="U33" i="40"/>
  <c r="V25" i="40"/>
  <c r="U25" i="40"/>
  <c r="V17" i="40"/>
  <c r="U17" i="40"/>
  <c r="V9" i="40"/>
  <c r="U9" i="40"/>
  <c r="V83" i="40"/>
  <c r="U83" i="40"/>
  <c r="V67" i="40"/>
  <c r="U67" i="40"/>
  <c r="V51" i="40"/>
  <c r="U51" i="40"/>
  <c r="V35" i="40"/>
  <c r="U35" i="40"/>
  <c r="V98" i="40"/>
  <c r="U98" i="40"/>
  <c r="V82" i="40"/>
  <c r="U82" i="40"/>
  <c r="V66" i="40"/>
  <c r="U66" i="40"/>
  <c r="V50" i="40"/>
  <c r="U50" i="40"/>
  <c r="V34" i="40"/>
  <c r="U34" i="40"/>
  <c r="V18" i="40"/>
  <c r="U18" i="40"/>
  <c r="V104" i="40"/>
  <c r="U104" i="40"/>
  <c r="V96" i="40"/>
  <c r="U96" i="40"/>
  <c r="V88" i="40"/>
  <c r="U88" i="40"/>
  <c r="V80" i="40"/>
  <c r="U80" i="40"/>
  <c r="V72" i="40"/>
  <c r="U72" i="40"/>
  <c r="V64" i="40"/>
  <c r="U64" i="40"/>
  <c r="V56" i="40"/>
  <c r="U56" i="40"/>
  <c r="V48" i="40"/>
  <c r="U48" i="40"/>
  <c r="V40" i="40"/>
  <c r="U40" i="40"/>
  <c r="V32" i="40"/>
  <c r="U32" i="40"/>
  <c r="V24" i="40"/>
  <c r="U24" i="40"/>
  <c r="V16" i="40"/>
  <c r="U16" i="40"/>
  <c r="V8" i="40"/>
  <c r="U8" i="40"/>
  <c r="V99" i="40"/>
  <c r="U99" i="40"/>
  <c r="V43" i="40"/>
  <c r="U43" i="40"/>
  <c r="V103" i="40"/>
  <c r="U103" i="40"/>
  <c r="V79" i="40"/>
  <c r="U79" i="40"/>
  <c r="V55" i="40"/>
  <c r="U55" i="40"/>
  <c r="V31" i="40"/>
  <c r="U31" i="40"/>
  <c r="V15" i="40"/>
  <c r="U15" i="40"/>
  <c r="V102" i="40"/>
  <c r="U102" i="40"/>
  <c r="V94" i="40"/>
  <c r="U94" i="40"/>
  <c r="V86" i="40"/>
  <c r="U86" i="40"/>
  <c r="V78" i="40"/>
  <c r="U78" i="40"/>
  <c r="V70" i="40"/>
  <c r="U70" i="40"/>
  <c r="V62" i="40"/>
  <c r="U62" i="40"/>
  <c r="V54" i="40"/>
  <c r="U54" i="40"/>
  <c r="V46" i="40"/>
  <c r="U46" i="40"/>
  <c r="V38" i="40"/>
  <c r="U38" i="40"/>
  <c r="V30" i="40"/>
  <c r="U30" i="40"/>
  <c r="V22" i="40"/>
  <c r="U22" i="40"/>
  <c r="V14" i="40"/>
  <c r="U14" i="40"/>
  <c r="V6" i="40"/>
  <c r="U6" i="40"/>
  <c r="V27" i="40"/>
  <c r="U27" i="40"/>
  <c r="V95" i="40"/>
  <c r="U95" i="40"/>
  <c r="V63" i="40"/>
  <c r="U63" i="40"/>
  <c r="V47" i="40"/>
  <c r="U47" i="40"/>
  <c r="V23" i="40"/>
  <c r="U23" i="40"/>
  <c r="V3" i="40"/>
  <c r="U3" i="40"/>
  <c r="V101" i="40"/>
  <c r="U101" i="40"/>
  <c r="V93" i="40"/>
  <c r="U93" i="40"/>
  <c r="V85" i="40"/>
  <c r="U85" i="40"/>
  <c r="V77" i="40"/>
  <c r="U77" i="40"/>
  <c r="V69" i="40"/>
  <c r="U69" i="40"/>
  <c r="V61" i="40"/>
  <c r="U61" i="40"/>
  <c r="V53" i="40"/>
  <c r="U53" i="40"/>
  <c r="V45" i="40"/>
  <c r="U45" i="40"/>
  <c r="V37" i="40"/>
  <c r="U37" i="40"/>
  <c r="V29" i="40"/>
  <c r="U29" i="40"/>
  <c r="V21" i="40"/>
  <c r="U21" i="40"/>
  <c r="V13" i="40"/>
  <c r="U13" i="40"/>
  <c r="V5" i="40"/>
  <c r="U5" i="40"/>
  <c r="V19" i="40"/>
  <c r="U19" i="40"/>
  <c r="V87" i="40"/>
  <c r="U87" i="40"/>
  <c r="V71" i="40"/>
  <c r="U71" i="40"/>
  <c r="V39" i="40"/>
  <c r="U39" i="40"/>
  <c r="V7" i="40"/>
  <c r="U7" i="40"/>
  <c r="V100" i="40"/>
  <c r="U100" i="40"/>
  <c r="V92" i="40"/>
  <c r="U92" i="40"/>
  <c r="V84" i="40"/>
  <c r="U84" i="40"/>
  <c r="V76" i="40"/>
  <c r="U76" i="40"/>
  <c r="V68" i="40"/>
  <c r="U68" i="40"/>
  <c r="V60" i="40"/>
  <c r="U60" i="40"/>
  <c r="V52" i="40"/>
  <c r="U52" i="40"/>
  <c r="V44" i="40"/>
  <c r="U44" i="40"/>
  <c r="V36" i="40"/>
  <c r="U36" i="40"/>
  <c r="V28" i="40"/>
  <c r="U28" i="40"/>
  <c r="V20" i="40"/>
  <c r="U20" i="40"/>
  <c r="V12" i="40"/>
  <c r="U12" i="40"/>
  <c r="V4" i="40"/>
  <c r="U4" i="40"/>
  <c r="Y4" i="40"/>
  <c r="Y5" i="40"/>
  <c r="Y6" i="40"/>
  <c r="Y7" i="40"/>
  <c r="Y8" i="40"/>
  <c r="Y9" i="40"/>
  <c r="Y10" i="40"/>
  <c r="Y11" i="40"/>
  <c r="Y12" i="40"/>
  <c r="Y13" i="40"/>
  <c r="Y14" i="40"/>
  <c r="Y15" i="40"/>
  <c r="Y16" i="40"/>
  <c r="Y17" i="40"/>
  <c r="Y18" i="40"/>
  <c r="Y19" i="40"/>
  <c r="Y20" i="40"/>
  <c r="Y21" i="40"/>
  <c r="Y22" i="40"/>
  <c r="Y23" i="40"/>
  <c r="Y24" i="40"/>
  <c r="Y25" i="40"/>
  <c r="Y26" i="40"/>
  <c r="Y27" i="40"/>
  <c r="Y28" i="40"/>
  <c r="Y29" i="40"/>
  <c r="Y30" i="40"/>
  <c r="Y31" i="40"/>
  <c r="Y32" i="40"/>
  <c r="Y33" i="40"/>
  <c r="Y34" i="40"/>
  <c r="Y35" i="40"/>
  <c r="Y36" i="40"/>
  <c r="Y37" i="40"/>
  <c r="Y38" i="40"/>
  <c r="Y39" i="40"/>
  <c r="Y40" i="40"/>
  <c r="Y41" i="40"/>
  <c r="Y42" i="40"/>
  <c r="Y43" i="40"/>
  <c r="Y44" i="40"/>
  <c r="Y45" i="40"/>
  <c r="Y46" i="40"/>
  <c r="Y47" i="40"/>
  <c r="Y48" i="40"/>
  <c r="Y49" i="40"/>
  <c r="Y50" i="40"/>
  <c r="Y51" i="40"/>
  <c r="Y52" i="40"/>
  <c r="Y53" i="40"/>
  <c r="Y54" i="40"/>
  <c r="Y55" i="40"/>
  <c r="Y56" i="40"/>
  <c r="Y57" i="40"/>
  <c r="Y58" i="40"/>
  <c r="Y59" i="40"/>
  <c r="Y60" i="40"/>
  <c r="Y61" i="40"/>
  <c r="Y62" i="40"/>
  <c r="Y63" i="40"/>
  <c r="Y64" i="40"/>
  <c r="Y65" i="40"/>
  <c r="Y66" i="40"/>
  <c r="Y67" i="40"/>
  <c r="Y68" i="40"/>
  <c r="Y69" i="40"/>
  <c r="Y70" i="40"/>
  <c r="Y71" i="40"/>
  <c r="Y72" i="40"/>
  <c r="Y73" i="40"/>
  <c r="Y74" i="40"/>
  <c r="Y75" i="40"/>
  <c r="Y76" i="40"/>
  <c r="Y77" i="40"/>
  <c r="Y78" i="40"/>
  <c r="Y79" i="40"/>
  <c r="Y80" i="40"/>
  <c r="Y81" i="40"/>
  <c r="Y82" i="40"/>
  <c r="Y83" i="40"/>
  <c r="Y84" i="40"/>
  <c r="Y85" i="40"/>
  <c r="Y86" i="40"/>
  <c r="Y87" i="40"/>
  <c r="Y88" i="40"/>
  <c r="Y89" i="40"/>
  <c r="Y90" i="40"/>
  <c r="Y91" i="40"/>
  <c r="Y92" i="40"/>
  <c r="Y93" i="40"/>
  <c r="Y94" i="40"/>
  <c r="Y95" i="40"/>
  <c r="Y96" i="40"/>
  <c r="Y97" i="40"/>
  <c r="Y98" i="40"/>
  <c r="Y99" i="40"/>
  <c r="Y100" i="40"/>
  <c r="Y101" i="40"/>
  <c r="Y102" i="40"/>
  <c r="Y103" i="40"/>
  <c r="Y104" i="40"/>
  <c r="Y105" i="40"/>
  <c r="Y106" i="40"/>
  <c r="Y107" i="40"/>
  <c r="Y108" i="40"/>
  <c r="Y109" i="40"/>
  <c r="Y110" i="40"/>
  <c r="Y111" i="40"/>
  <c r="Y112" i="40"/>
  <c r="Y113" i="40"/>
  <c r="Y114" i="40"/>
  <c r="Y115" i="40"/>
  <c r="Y116" i="40"/>
  <c r="Y117" i="40"/>
  <c r="Y118" i="40"/>
  <c r="Y119" i="40"/>
  <c r="Y120" i="40"/>
  <c r="Y121" i="40"/>
  <c r="Y122" i="40"/>
  <c r="Y123" i="40"/>
  <c r="Y124" i="40"/>
  <c r="Y125" i="40"/>
  <c r="Y126" i="40"/>
  <c r="Y127" i="40"/>
  <c r="Y128" i="40"/>
  <c r="Y129" i="40"/>
  <c r="Y130" i="40"/>
  <c r="Y131" i="40"/>
  <c r="Y132" i="40"/>
  <c r="Y133" i="40"/>
  <c r="Y134" i="40"/>
  <c r="Y135" i="40"/>
  <c r="Y136" i="40"/>
  <c r="Y137" i="40"/>
  <c r="Y138" i="40"/>
  <c r="Y139" i="40"/>
  <c r="Y140" i="40"/>
  <c r="Y141" i="40"/>
  <c r="Y142" i="40"/>
  <c r="Y143" i="40"/>
  <c r="Y144" i="40"/>
  <c r="Y145" i="40"/>
  <c r="Y146" i="40"/>
  <c r="Y147" i="40"/>
  <c r="Y148" i="40"/>
  <c r="Y149" i="40"/>
  <c r="Y150" i="40"/>
  <c r="Y151" i="40"/>
  <c r="Y152" i="40"/>
  <c r="Y153" i="40"/>
  <c r="Y154" i="40"/>
  <c r="Y155" i="40"/>
  <c r="Y156" i="40"/>
  <c r="Y157" i="40"/>
  <c r="Y158" i="40"/>
  <c r="Y159" i="40"/>
  <c r="Y160" i="40"/>
  <c r="Y161" i="40"/>
  <c r="Y162" i="40"/>
  <c r="Y163" i="40"/>
  <c r="Y164" i="40"/>
  <c r="Y165" i="40"/>
  <c r="Y166" i="40"/>
  <c r="Y167" i="40"/>
  <c r="Y168" i="40"/>
  <c r="Y169" i="40"/>
  <c r="Y170" i="40"/>
  <c r="Y171" i="40"/>
  <c r="Y172" i="40"/>
  <c r="Y173" i="40"/>
  <c r="Y174" i="40"/>
  <c r="Y175" i="40"/>
  <c r="Y176" i="40"/>
  <c r="Y177" i="40"/>
  <c r="Y178" i="40"/>
  <c r="Y179" i="40"/>
  <c r="Y180" i="40"/>
  <c r="Y181" i="40"/>
  <c r="Y182" i="40"/>
  <c r="Y183" i="40"/>
  <c r="Y184" i="40"/>
  <c r="Y185" i="40"/>
  <c r="Y186" i="40"/>
  <c r="Y187" i="40"/>
  <c r="Y188" i="40"/>
  <c r="Y189" i="40"/>
  <c r="Y190" i="40"/>
  <c r="Y191" i="40"/>
  <c r="Y192" i="40"/>
  <c r="Y193" i="40"/>
  <c r="Y194" i="40"/>
  <c r="Y195" i="40"/>
  <c r="Y196" i="40"/>
  <c r="Y197" i="40"/>
  <c r="Y198" i="40"/>
  <c r="Y199" i="40"/>
  <c r="Y200" i="40"/>
  <c r="Y3" i="40"/>
  <c r="A451" i="36" l="1"/>
  <c r="A452" i="36"/>
  <c r="A453" i="36"/>
  <c r="A454" i="36"/>
  <c r="A455" i="36"/>
  <c r="A456" i="36"/>
  <c r="A457" i="36"/>
  <c r="A458" i="36"/>
  <c r="A459" i="36"/>
  <c r="A460" i="36"/>
  <c r="A461" i="36"/>
  <c r="A462" i="36"/>
  <c r="A463" i="36"/>
  <c r="A464" i="36"/>
  <c r="A465" i="36"/>
  <c r="A466" i="36"/>
  <c r="A467" i="36"/>
  <c r="A468" i="36"/>
  <c r="A469" i="36"/>
  <c r="A470" i="36"/>
  <c r="A471" i="36"/>
  <c r="A472" i="36"/>
  <c r="A473" i="36"/>
  <c r="A474" i="36"/>
  <c r="A475" i="36"/>
  <c r="A476" i="36"/>
  <c r="A477" i="36"/>
  <c r="A478" i="36"/>
  <c r="A479" i="36"/>
  <c r="A480" i="36"/>
  <c r="A481" i="36"/>
  <c r="A482" i="36"/>
  <c r="A483" i="36"/>
  <c r="A484" i="36"/>
  <c r="A485" i="36"/>
  <c r="A486" i="36"/>
  <c r="A487" i="36"/>
  <c r="A488" i="36"/>
  <c r="A489" i="36"/>
  <c r="A490" i="36"/>
  <c r="A491" i="36"/>
  <c r="A492" i="36"/>
  <c r="A493" i="36"/>
  <c r="A494" i="36"/>
  <c r="A495" i="36"/>
  <c r="A496" i="36"/>
  <c r="A497" i="36"/>
  <c r="A498" i="36"/>
  <c r="A499" i="36"/>
  <c r="A500" i="36"/>
  <c r="Z451" i="36"/>
  <c r="Z452" i="36"/>
  <c r="Z453" i="36"/>
  <c r="Z454" i="36"/>
  <c r="Z455" i="36"/>
  <c r="Z456" i="36"/>
  <c r="Z457" i="36"/>
  <c r="Z458" i="36"/>
  <c r="Z459" i="36"/>
  <c r="Z460" i="36"/>
  <c r="Z461" i="36"/>
  <c r="Z462" i="36"/>
  <c r="Z463" i="36"/>
  <c r="Z464" i="36"/>
  <c r="Z465" i="36"/>
  <c r="Z466" i="36"/>
  <c r="Z467" i="36"/>
  <c r="Z468" i="36"/>
  <c r="Z469" i="36"/>
  <c r="Z470" i="36"/>
  <c r="Z471" i="36"/>
  <c r="Z472" i="36"/>
  <c r="Z473" i="36"/>
  <c r="Z474" i="36"/>
  <c r="Z475" i="36"/>
  <c r="Z476" i="36"/>
  <c r="Z477" i="36"/>
  <c r="Z478" i="36"/>
  <c r="Z479" i="36"/>
  <c r="Z480" i="36"/>
  <c r="Z481" i="36"/>
  <c r="Z482" i="36"/>
  <c r="Z483" i="36"/>
  <c r="Z484" i="36"/>
  <c r="Z485" i="36"/>
  <c r="Z486" i="36"/>
  <c r="Z487" i="36"/>
  <c r="Z488" i="36"/>
  <c r="Z489" i="36"/>
  <c r="Z490" i="36"/>
  <c r="Z491" i="36"/>
  <c r="Z492" i="36"/>
  <c r="Z493" i="36"/>
  <c r="Z494" i="36"/>
  <c r="Z495" i="36"/>
  <c r="Z496" i="36"/>
  <c r="Z497" i="36"/>
  <c r="Z498" i="36"/>
  <c r="Z499" i="36"/>
  <c r="Z500" i="36"/>
  <c r="Z501" i="36"/>
  <c r="Z502" i="36"/>
  <c r="Z503" i="36"/>
  <c r="Z504" i="36"/>
  <c r="Z505" i="36"/>
  <c r="Z506" i="36"/>
  <c r="Z507" i="36"/>
  <c r="Z508" i="36"/>
  <c r="Z509" i="36"/>
  <c r="Z510" i="36"/>
  <c r="Z511" i="36"/>
  <c r="Z512" i="36"/>
  <c r="Z513" i="36"/>
  <c r="Z514" i="36"/>
  <c r="Z515" i="36"/>
  <c r="Z516" i="36"/>
  <c r="Z517" i="36"/>
  <c r="Z518" i="36"/>
  <c r="Z519" i="36"/>
  <c r="Z520" i="36"/>
  <c r="Z521" i="36"/>
  <c r="Z522" i="36"/>
  <c r="Z523" i="36"/>
  <c r="Z524" i="36"/>
  <c r="Z525" i="36"/>
  <c r="Z526" i="36"/>
  <c r="Z527" i="36"/>
  <c r="Z528" i="36"/>
  <c r="Z529" i="36"/>
  <c r="Z530" i="36"/>
  <c r="Z531" i="36"/>
  <c r="Z532" i="36"/>
  <c r="Z533" i="36"/>
  <c r="Z534" i="36"/>
  <c r="Z535" i="36"/>
  <c r="Z536" i="36"/>
  <c r="Z537" i="36"/>
  <c r="Z538" i="36"/>
  <c r="Z539" i="36"/>
  <c r="Z540" i="36"/>
  <c r="Z541" i="36"/>
  <c r="Z542" i="36"/>
  <c r="Z543" i="36"/>
  <c r="Z544" i="36"/>
  <c r="Z545" i="36"/>
  <c r="Z546" i="36"/>
  <c r="Z547" i="36"/>
  <c r="Z548" i="36"/>
  <c r="Z549" i="36"/>
  <c r="Z550" i="36"/>
  <c r="Z551" i="36"/>
  <c r="Z552" i="36"/>
  <c r="Z553" i="36"/>
  <c r="Z554" i="36"/>
  <c r="Z555" i="36"/>
  <c r="Z556" i="36"/>
  <c r="Z557" i="36"/>
  <c r="Z558" i="36"/>
  <c r="Z559" i="36"/>
  <c r="Z560" i="36"/>
  <c r="Z561" i="36"/>
  <c r="Z562" i="36"/>
  <c r="Z563" i="36"/>
  <c r="Z564" i="36"/>
  <c r="Z565" i="36"/>
  <c r="Z566" i="36"/>
  <c r="Z567" i="36"/>
  <c r="Z568" i="36"/>
  <c r="Z569" i="36"/>
  <c r="Z570" i="36"/>
  <c r="Z571" i="36"/>
  <c r="Z572" i="36"/>
  <c r="Z573" i="36"/>
  <c r="Z574" i="36"/>
  <c r="Z575" i="36"/>
  <c r="Z576" i="36"/>
  <c r="Z577" i="36"/>
  <c r="Z578" i="36"/>
  <c r="Z579" i="36"/>
  <c r="Z580" i="36"/>
  <c r="Z581" i="36"/>
  <c r="Z582" i="36"/>
  <c r="Z583" i="36"/>
  <c r="Z584" i="36"/>
  <c r="Z585" i="36"/>
  <c r="Z586" i="36"/>
  <c r="Z587" i="36"/>
  <c r="Z588" i="36"/>
  <c r="Z589" i="36"/>
  <c r="Z590" i="36"/>
  <c r="Z591" i="36"/>
  <c r="Z592" i="36"/>
  <c r="Z593" i="36"/>
  <c r="Z594" i="36"/>
  <c r="Z595" i="36"/>
  <c r="Z596" i="36"/>
  <c r="Z597" i="36"/>
  <c r="Z598" i="36"/>
  <c r="Z599" i="36"/>
  <c r="Z600" i="36"/>
  <c r="Z601" i="36"/>
  <c r="Z602" i="36"/>
  <c r="Z603" i="36"/>
  <c r="Z604" i="36"/>
  <c r="Z605" i="36"/>
  <c r="Z606" i="36"/>
  <c r="Z607" i="36"/>
  <c r="Z608" i="36"/>
  <c r="Z609" i="36"/>
  <c r="Z610" i="36"/>
  <c r="Z611" i="36"/>
  <c r="Z612" i="36"/>
  <c r="Z613" i="36"/>
  <c r="Z614" i="36"/>
  <c r="Z615" i="36"/>
  <c r="Z616" i="36"/>
  <c r="Z617" i="36"/>
  <c r="Z618" i="36"/>
  <c r="Z619" i="36"/>
  <c r="Z620" i="36"/>
  <c r="Z621" i="36"/>
  <c r="Z622" i="36"/>
  <c r="Z623" i="36"/>
  <c r="Z624" i="36"/>
  <c r="Z625" i="36"/>
  <c r="Z626" i="36"/>
  <c r="Z627" i="36"/>
  <c r="Z628" i="36"/>
  <c r="Z629" i="36"/>
  <c r="Z630" i="36"/>
  <c r="Z631" i="36"/>
  <c r="Z632" i="36"/>
  <c r="Z633" i="36"/>
  <c r="Z634" i="36"/>
  <c r="Z635" i="36"/>
  <c r="Z636" i="36"/>
  <c r="Z637" i="36"/>
  <c r="Z638" i="36"/>
  <c r="Z639" i="36"/>
  <c r="Z640" i="36"/>
  <c r="Z641" i="36"/>
  <c r="Z642" i="36"/>
  <c r="Z643" i="36"/>
  <c r="Z644" i="36"/>
  <c r="Z645" i="36"/>
  <c r="Z646" i="36"/>
  <c r="Z647" i="36"/>
  <c r="Z648" i="36"/>
  <c r="Z649" i="36"/>
  <c r="Z650" i="36"/>
  <c r="Z4" i="42" l="1"/>
  <c r="Y4" i="42" s="1"/>
  <c r="Z5" i="42"/>
  <c r="Y5" i="42" s="1"/>
  <c r="Z6" i="42"/>
  <c r="Y6" i="42" s="1"/>
  <c r="Z7" i="42"/>
  <c r="Y7" i="42" s="1"/>
  <c r="Z8" i="42"/>
  <c r="Y8" i="42" s="1"/>
  <c r="Z9" i="42"/>
  <c r="Y9" i="42" s="1"/>
  <c r="Z10" i="42"/>
  <c r="Y10" i="42" s="1"/>
  <c r="Z11" i="42"/>
  <c r="Y11" i="42" s="1"/>
  <c r="Z12" i="42"/>
  <c r="Y12" i="42" s="1"/>
  <c r="Z13" i="42"/>
  <c r="Y13" i="42" s="1"/>
  <c r="Z14" i="42"/>
  <c r="Y14" i="42" s="1"/>
  <c r="Z15" i="42"/>
  <c r="Y15" i="42" s="1"/>
  <c r="Z16" i="42"/>
  <c r="Y16" i="42" s="1"/>
  <c r="Z17" i="42"/>
  <c r="Y17" i="42" s="1"/>
  <c r="Z18" i="42"/>
  <c r="Y18" i="42" s="1"/>
  <c r="Z19" i="42"/>
  <c r="Y19" i="42" s="1"/>
  <c r="Z20" i="42"/>
  <c r="Y20" i="42" s="1"/>
  <c r="Z21" i="42"/>
  <c r="Y21" i="42" s="1"/>
  <c r="Z22" i="42"/>
  <c r="Y22" i="42" s="1"/>
  <c r="Z23" i="42"/>
  <c r="Y23" i="42" s="1"/>
  <c r="Z24" i="42"/>
  <c r="Y24" i="42" s="1"/>
  <c r="Z25" i="42"/>
  <c r="Y25" i="42" s="1"/>
  <c r="Z26" i="42"/>
  <c r="Y26" i="42" s="1"/>
  <c r="Z27" i="42"/>
  <c r="Y27" i="42" s="1"/>
  <c r="Z28" i="42"/>
  <c r="Y28" i="42" s="1"/>
  <c r="Z29" i="42"/>
  <c r="Y29" i="42" s="1"/>
  <c r="Z30" i="42"/>
  <c r="Y30" i="42" s="1"/>
  <c r="Z31" i="42"/>
  <c r="Y31" i="42" s="1"/>
  <c r="Z32" i="42"/>
  <c r="Y32" i="42" s="1"/>
  <c r="Z33" i="42"/>
  <c r="Y33" i="42" s="1"/>
  <c r="Z34" i="42"/>
  <c r="Y34" i="42" s="1"/>
  <c r="Z35" i="42"/>
  <c r="Y35" i="42" s="1"/>
  <c r="Z36" i="42"/>
  <c r="Y36" i="42" s="1"/>
  <c r="Z37" i="42"/>
  <c r="Y37" i="42" s="1"/>
  <c r="Z38" i="42"/>
  <c r="Y38" i="42" s="1"/>
  <c r="Z39" i="42"/>
  <c r="Y39" i="42" s="1"/>
  <c r="Z40" i="42"/>
  <c r="Y40" i="42" s="1"/>
  <c r="Z41" i="42"/>
  <c r="Y41" i="42" s="1"/>
  <c r="Z42" i="42"/>
  <c r="Y42" i="42" s="1"/>
  <c r="Z43" i="42"/>
  <c r="Y43" i="42" s="1"/>
  <c r="Z44" i="42"/>
  <c r="Y44" i="42" s="1"/>
  <c r="Z45" i="42"/>
  <c r="Y45" i="42" s="1"/>
  <c r="Z46" i="42"/>
  <c r="Y46" i="42" s="1"/>
  <c r="Z47" i="42"/>
  <c r="Y47" i="42" s="1"/>
  <c r="Z48" i="42"/>
  <c r="Y48" i="42" s="1"/>
  <c r="Z49" i="42"/>
  <c r="Y49" i="42" s="1"/>
  <c r="Z50" i="42"/>
  <c r="Y50" i="42" s="1"/>
  <c r="Z3" i="42"/>
  <c r="Y3" i="42"/>
  <c r="X86" i="41"/>
  <c r="X88" i="41"/>
  <c r="X94" i="41"/>
  <c r="X96" i="41"/>
  <c r="X102" i="41"/>
  <c r="X104" i="41"/>
  <c r="X110" i="41"/>
  <c r="X112" i="41"/>
  <c r="X118" i="41"/>
  <c r="X120" i="41"/>
  <c r="X126" i="41"/>
  <c r="X128" i="41"/>
  <c r="X134" i="41"/>
  <c r="X136" i="41"/>
  <c r="X142" i="41"/>
  <c r="X144" i="41"/>
  <c r="X150" i="41"/>
  <c r="X152" i="41"/>
  <c r="X158" i="41"/>
  <c r="X160" i="41"/>
  <c r="X166" i="41"/>
  <c r="X168" i="41"/>
  <c r="X174" i="41"/>
  <c r="X176" i="41"/>
  <c r="X182" i="41"/>
  <c r="X184" i="41"/>
  <c r="X190" i="41"/>
  <c r="X192" i="41"/>
  <c r="X198" i="41"/>
  <c r="X200" i="41"/>
  <c r="X206" i="41"/>
  <c r="X208" i="41"/>
  <c r="X214" i="41"/>
  <c r="X216" i="41"/>
  <c r="X222" i="41"/>
  <c r="X224" i="41"/>
  <c r="X230" i="41"/>
  <c r="X232" i="41"/>
  <c r="X238" i="41"/>
  <c r="X240" i="41"/>
  <c r="X246" i="41"/>
  <c r="X248" i="41"/>
  <c r="X254" i="41"/>
  <c r="X256" i="41"/>
  <c r="X262" i="41"/>
  <c r="X264" i="41"/>
  <c r="X270" i="41"/>
  <c r="X272" i="41"/>
  <c r="X278" i="41"/>
  <c r="X280" i="41"/>
  <c r="X286" i="41"/>
  <c r="X288" i="41"/>
  <c r="X294" i="41"/>
  <c r="X296" i="41"/>
  <c r="X302" i="41"/>
  <c r="X304" i="41"/>
  <c r="X310" i="41"/>
  <c r="X312" i="41"/>
  <c r="X318" i="41"/>
  <c r="X320" i="41"/>
  <c r="X326" i="41"/>
  <c r="X328" i="41"/>
  <c r="X334" i="41"/>
  <c r="X336" i="41"/>
  <c r="X342" i="41"/>
  <c r="X344" i="41"/>
  <c r="X350" i="41"/>
  <c r="X352" i="41"/>
  <c r="X358" i="41"/>
  <c r="X360" i="41"/>
  <c r="X366" i="41"/>
  <c r="X368" i="41"/>
  <c r="X374" i="41"/>
  <c r="X376" i="41"/>
  <c r="X382" i="41"/>
  <c r="X384" i="41"/>
  <c r="X390" i="41"/>
  <c r="X392" i="41"/>
  <c r="X398" i="41"/>
  <c r="X400" i="41"/>
  <c r="X406" i="41"/>
  <c r="X408" i="41"/>
  <c r="X414" i="41"/>
  <c r="X416" i="41"/>
  <c r="X422" i="41"/>
  <c r="X424" i="41"/>
  <c r="X430" i="41"/>
  <c r="X432" i="41"/>
  <c r="X438" i="41"/>
  <c r="X440" i="41"/>
  <c r="X446" i="41"/>
  <c r="X448" i="41"/>
  <c r="X454" i="41"/>
  <c r="X456" i="41"/>
  <c r="X462" i="41"/>
  <c r="X464" i="41"/>
  <c r="X470" i="41"/>
  <c r="X472" i="41"/>
  <c r="X478" i="41"/>
  <c r="X480" i="41"/>
  <c r="X486" i="41"/>
  <c r="X488" i="41"/>
  <c r="X494" i="41"/>
  <c r="X496" i="41"/>
  <c r="Z83" i="41"/>
  <c r="X83" i="41" s="1"/>
  <c r="Z84" i="41"/>
  <c r="X84" i="41" s="1"/>
  <c r="Z85" i="41"/>
  <c r="X85" i="41" s="1"/>
  <c r="Z86" i="41"/>
  <c r="Z87" i="41"/>
  <c r="X87" i="41" s="1"/>
  <c r="Z88" i="41"/>
  <c r="Z89" i="41"/>
  <c r="X89" i="41" s="1"/>
  <c r="Z90" i="41"/>
  <c r="X90" i="41" s="1"/>
  <c r="Z91" i="41"/>
  <c r="X91" i="41" s="1"/>
  <c r="Z92" i="41"/>
  <c r="X92" i="41" s="1"/>
  <c r="Z93" i="41"/>
  <c r="X93" i="41" s="1"/>
  <c r="Z94" i="41"/>
  <c r="Z95" i="41"/>
  <c r="X95" i="41" s="1"/>
  <c r="Z96" i="41"/>
  <c r="Z97" i="41"/>
  <c r="X97" i="41" s="1"/>
  <c r="Z98" i="41"/>
  <c r="X98" i="41" s="1"/>
  <c r="Z99" i="41"/>
  <c r="X99" i="41" s="1"/>
  <c r="Z100" i="41"/>
  <c r="X100" i="41" s="1"/>
  <c r="Z101" i="41"/>
  <c r="X101" i="41" s="1"/>
  <c r="Z102" i="41"/>
  <c r="Z103" i="41"/>
  <c r="X103" i="41" s="1"/>
  <c r="Z104" i="41"/>
  <c r="Z105" i="41"/>
  <c r="X105" i="41" s="1"/>
  <c r="Z106" i="41"/>
  <c r="X106" i="41" s="1"/>
  <c r="Z107" i="41"/>
  <c r="X107" i="41" s="1"/>
  <c r="Z108" i="41"/>
  <c r="X108" i="41" s="1"/>
  <c r="Z109" i="41"/>
  <c r="X109" i="41" s="1"/>
  <c r="Z110" i="41"/>
  <c r="Z111" i="41"/>
  <c r="X111" i="41" s="1"/>
  <c r="Z112" i="41"/>
  <c r="Z113" i="41"/>
  <c r="X113" i="41" s="1"/>
  <c r="Z114" i="41"/>
  <c r="X114" i="41" s="1"/>
  <c r="Z115" i="41"/>
  <c r="X115" i="41" s="1"/>
  <c r="Z116" i="41"/>
  <c r="X116" i="41" s="1"/>
  <c r="Z117" i="41"/>
  <c r="X117" i="41" s="1"/>
  <c r="Z118" i="41"/>
  <c r="Z119" i="41"/>
  <c r="X119" i="41" s="1"/>
  <c r="Z120" i="41"/>
  <c r="Z121" i="41"/>
  <c r="X121" i="41" s="1"/>
  <c r="Z122" i="41"/>
  <c r="X122" i="41" s="1"/>
  <c r="Z123" i="41"/>
  <c r="X123" i="41" s="1"/>
  <c r="Z124" i="41"/>
  <c r="X124" i="41" s="1"/>
  <c r="Z125" i="41"/>
  <c r="X125" i="41" s="1"/>
  <c r="Z126" i="41"/>
  <c r="Z127" i="41"/>
  <c r="X127" i="41" s="1"/>
  <c r="Z128" i="41"/>
  <c r="Z129" i="41"/>
  <c r="X129" i="41" s="1"/>
  <c r="Z130" i="41"/>
  <c r="X130" i="41" s="1"/>
  <c r="Z131" i="41"/>
  <c r="X131" i="41" s="1"/>
  <c r="Z132" i="41"/>
  <c r="X132" i="41" s="1"/>
  <c r="Z133" i="41"/>
  <c r="X133" i="41" s="1"/>
  <c r="Z134" i="41"/>
  <c r="Z135" i="41"/>
  <c r="X135" i="41" s="1"/>
  <c r="Z136" i="41"/>
  <c r="Z137" i="41"/>
  <c r="X137" i="41" s="1"/>
  <c r="Z138" i="41"/>
  <c r="X138" i="41" s="1"/>
  <c r="Z139" i="41"/>
  <c r="X139" i="41" s="1"/>
  <c r="Z140" i="41"/>
  <c r="X140" i="41" s="1"/>
  <c r="Z141" i="41"/>
  <c r="X141" i="41" s="1"/>
  <c r="Z142" i="41"/>
  <c r="Z143" i="41"/>
  <c r="X143" i="41" s="1"/>
  <c r="Z144" i="41"/>
  <c r="Z145" i="41"/>
  <c r="X145" i="41" s="1"/>
  <c r="Z146" i="41"/>
  <c r="X146" i="41" s="1"/>
  <c r="Z147" i="41"/>
  <c r="X147" i="41" s="1"/>
  <c r="Z148" i="41"/>
  <c r="X148" i="41" s="1"/>
  <c r="Z149" i="41"/>
  <c r="X149" i="41" s="1"/>
  <c r="Z150" i="41"/>
  <c r="Z151" i="41"/>
  <c r="X151" i="41" s="1"/>
  <c r="Z152" i="41"/>
  <c r="Z153" i="41"/>
  <c r="X153" i="41" s="1"/>
  <c r="Z154" i="41"/>
  <c r="X154" i="41" s="1"/>
  <c r="Z155" i="41"/>
  <c r="X155" i="41" s="1"/>
  <c r="Z156" i="41"/>
  <c r="X156" i="41" s="1"/>
  <c r="Z157" i="41"/>
  <c r="X157" i="41" s="1"/>
  <c r="Z158" i="41"/>
  <c r="Z159" i="41"/>
  <c r="X159" i="41" s="1"/>
  <c r="Z160" i="41"/>
  <c r="Z161" i="41"/>
  <c r="X161" i="41" s="1"/>
  <c r="Z162" i="41"/>
  <c r="X162" i="41" s="1"/>
  <c r="Z163" i="41"/>
  <c r="X163" i="41" s="1"/>
  <c r="Z164" i="41"/>
  <c r="X164" i="41" s="1"/>
  <c r="Z165" i="41"/>
  <c r="X165" i="41" s="1"/>
  <c r="Z166" i="41"/>
  <c r="Z167" i="41"/>
  <c r="X167" i="41" s="1"/>
  <c r="Z168" i="41"/>
  <c r="Z169" i="41"/>
  <c r="X169" i="41" s="1"/>
  <c r="Z170" i="41"/>
  <c r="X170" i="41" s="1"/>
  <c r="Z171" i="41"/>
  <c r="X171" i="41" s="1"/>
  <c r="Z172" i="41"/>
  <c r="X172" i="41" s="1"/>
  <c r="Z173" i="41"/>
  <c r="X173" i="41" s="1"/>
  <c r="Z174" i="41"/>
  <c r="Z175" i="41"/>
  <c r="X175" i="41" s="1"/>
  <c r="Z176" i="41"/>
  <c r="Z177" i="41"/>
  <c r="X177" i="41" s="1"/>
  <c r="Z178" i="41"/>
  <c r="X178" i="41" s="1"/>
  <c r="Z179" i="41"/>
  <c r="X179" i="41" s="1"/>
  <c r="Z180" i="41"/>
  <c r="X180" i="41" s="1"/>
  <c r="Z181" i="41"/>
  <c r="X181" i="41" s="1"/>
  <c r="Z182" i="41"/>
  <c r="Z183" i="41"/>
  <c r="X183" i="41" s="1"/>
  <c r="Z184" i="41"/>
  <c r="Z185" i="41"/>
  <c r="X185" i="41" s="1"/>
  <c r="Z186" i="41"/>
  <c r="X186" i="41" s="1"/>
  <c r="Z187" i="41"/>
  <c r="X187" i="41" s="1"/>
  <c r="Z188" i="41"/>
  <c r="X188" i="41" s="1"/>
  <c r="Z189" i="41"/>
  <c r="X189" i="41" s="1"/>
  <c r="Z190" i="41"/>
  <c r="Z191" i="41"/>
  <c r="X191" i="41" s="1"/>
  <c r="Z192" i="41"/>
  <c r="Z193" i="41"/>
  <c r="X193" i="41" s="1"/>
  <c r="Z194" i="41"/>
  <c r="X194" i="41" s="1"/>
  <c r="Z195" i="41"/>
  <c r="X195" i="41" s="1"/>
  <c r="Z196" i="41"/>
  <c r="X196" i="41" s="1"/>
  <c r="Z197" i="41"/>
  <c r="X197" i="41" s="1"/>
  <c r="Z198" i="41"/>
  <c r="Z199" i="41"/>
  <c r="X199" i="41" s="1"/>
  <c r="Z200" i="41"/>
  <c r="Z201" i="41"/>
  <c r="X201" i="41" s="1"/>
  <c r="Z202" i="41"/>
  <c r="X202" i="41" s="1"/>
  <c r="Z203" i="41"/>
  <c r="X203" i="41" s="1"/>
  <c r="Z204" i="41"/>
  <c r="X204" i="41" s="1"/>
  <c r="Z205" i="41"/>
  <c r="X205" i="41" s="1"/>
  <c r="Z206" i="41"/>
  <c r="Z207" i="41"/>
  <c r="X207" i="41" s="1"/>
  <c r="Z208" i="41"/>
  <c r="Z209" i="41"/>
  <c r="X209" i="41" s="1"/>
  <c r="Z210" i="41"/>
  <c r="X210" i="41" s="1"/>
  <c r="Z211" i="41"/>
  <c r="X211" i="41" s="1"/>
  <c r="Z212" i="41"/>
  <c r="X212" i="41" s="1"/>
  <c r="Z213" i="41"/>
  <c r="X213" i="41" s="1"/>
  <c r="Z214" i="41"/>
  <c r="Z215" i="41"/>
  <c r="X215" i="41" s="1"/>
  <c r="Z216" i="41"/>
  <c r="Z217" i="41"/>
  <c r="X217" i="41" s="1"/>
  <c r="Z218" i="41"/>
  <c r="X218" i="41" s="1"/>
  <c r="Z219" i="41"/>
  <c r="X219" i="41" s="1"/>
  <c r="Z220" i="41"/>
  <c r="X220" i="41" s="1"/>
  <c r="Z221" i="41"/>
  <c r="X221" i="41" s="1"/>
  <c r="Z222" i="41"/>
  <c r="Z223" i="41"/>
  <c r="X223" i="41" s="1"/>
  <c r="Z224" i="41"/>
  <c r="Z225" i="41"/>
  <c r="X225" i="41" s="1"/>
  <c r="Z226" i="41"/>
  <c r="X226" i="41" s="1"/>
  <c r="Z227" i="41"/>
  <c r="X227" i="41" s="1"/>
  <c r="Z228" i="41"/>
  <c r="X228" i="41" s="1"/>
  <c r="Z229" i="41"/>
  <c r="X229" i="41" s="1"/>
  <c r="Z230" i="41"/>
  <c r="Z231" i="41"/>
  <c r="X231" i="41" s="1"/>
  <c r="Z232" i="41"/>
  <c r="Z233" i="41"/>
  <c r="X233" i="41" s="1"/>
  <c r="Z234" i="41"/>
  <c r="X234" i="41" s="1"/>
  <c r="Z235" i="41"/>
  <c r="X235" i="41" s="1"/>
  <c r="Z236" i="41"/>
  <c r="X236" i="41" s="1"/>
  <c r="Z237" i="41"/>
  <c r="X237" i="41" s="1"/>
  <c r="Z238" i="41"/>
  <c r="Z239" i="41"/>
  <c r="X239" i="41" s="1"/>
  <c r="Z240" i="41"/>
  <c r="Z241" i="41"/>
  <c r="X241" i="41" s="1"/>
  <c r="Z242" i="41"/>
  <c r="X242" i="41" s="1"/>
  <c r="Z243" i="41"/>
  <c r="X243" i="41" s="1"/>
  <c r="Z244" i="41"/>
  <c r="X244" i="41" s="1"/>
  <c r="Z245" i="41"/>
  <c r="X245" i="41" s="1"/>
  <c r="Z246" i="41"/>
  <c r="Z247" i="41"/>
  <c r="X247" i="41" s="1"/>
  <c r="Z248" i="41"/>
  <c r="Z249" i="41"/>
  <c r="X249" i="41" s="1"/>
  <c r="Z250" i="41"/>
  <c r="X250" i="41" s="1"/>
  <c r="Z251" i="41"/>
  <c r="X251" i="41" s="1"/>
  <c r="Z252" i="41"/>
  <c r="X252" i="41" s="1"/>
  <c r="Z253" i="41"/>
  <c r="X253" i="41" s="1"/>
  <c r="Z254" i="41"/>
  <c r="Z255" i="41"/>
  <c r="X255" i="41" s="1"/>
  <c r="Z256" i="41"/>
  <c r="Z257" i="41"/>
  <c r="X257" i="41" s="1"/>
  <c r="Z258" i="41"/>
  <c r="X258" i="41" s="1"/>
  <c r="Z259" i="41"/>
  <c r="X259" i="41" s="1"/>
  <c r="Z260" i="41"/>
  <c r="X260" i="41" s="1"/>
  <c r="Z261" i="41"/>
  <c r="X261" i="41" s="1"/>
  <c r="Z262" i="41"/>
  <c r="Z263" i="41"/>
  <c r="X263" i="41" s="1"/>
  <c r="Z264" i="41"/>
  <c r="Z265" i="41"/>
  <c r="X265" i="41" s="1"/>
  <c r="Z266" i="41"/>
  <c r="X266" i="41" s="1"/>
  <c r="Z267" i="41"/>
  <c r="X267" i="41" s="1"/>
  <c r="Z268" i="41"/>
  <c r="X268" i="41" s="1"/>
  <c r="Z269" i="41"/>
  <c r="X269" i="41" s="1"/>
  <c r="Z270" i="41"/>
  <c r="Z271" i="41"/>
  <c r="X271" i="41" s="1"/>
  <c r="Z272" i="41"/>
  <c r="Z273" i="41"/>
  <c r="X273" i="41" s="1"/>
  <c r="Z274" i="41"/>
  <c r="X274" i="41" s="1"/>
  <c r="Z275" i="41"/>
  <c r="X275" i="41" s="1"/>
  <c r="Z276" i="41"/>
  <c r="X276" i="41" s="1"/>
  <c r="Z277" i="41"/>
  <c r="X277" i="41" s="1"/>
  <c r="Z278" i="41"/>
  <c r="Z279" i="41"/>
  <c r="X279" i="41" s="1"/>
  <c r="Z280" i="41"/>
  <c r="Z281" i="41"/>
  <c r="X281" i="41" s="1"/>
  <c r="Z282" i="41"/>
  <c r="X282" i="41" s="1"/>
  <c r="Z283" i="41"/>
  <c r="X283" i="41" s="1"/>
  <c r="Z284" i="41"/>
  <c r="X284" i="41" s="1"/>
  <c r="Z285" i="41"/>
  <c r="X285" i="41" s="1"/>
  <c r="Z286" i="41"/>
  <c r="Z287" i="41"/>
  <c r="X287" i="41" s="1"/>
  <c r="Z288" i="41"/>
  <c r="Z289" i="41"/>
  <c r="X289" i="41" s="1"/>
  <c r="Z290" i="41"/>
  <c r="X290" i="41" s="1"/>
  <c r="Z291" i="41"/>
  <c r="X291" i="41" s="1"/>
  <c r="Z292" i="41"/>
  <c r="X292" i="41" s="1"/>
  <c r="Z293" i="41"/>
  <c r="X293" i="41" s="1"/>
  <c r="Z294" i="41"/>
  <c r="Z295" i="41"/>
  <c r="X295" i="41" s="1"/>
  <c r="Z296" i="41"/>
  <c r="Z297" i="41"/>
  <c r="X297" i="41" s="1"/>
  <c r="Z298" i="41"/>
  <c r="X298" i="41" s="1"/>
  <c r="Z299" i="41"/>
  <c r="X299" i="41" s="1"/>
  <c r="Z300" i="41"/>
  <c r="X300" i="41" s="1"/>
  <c r="Z301" i="41"/>
  <c r="X301" i="41" s="1"/>
  <c r="Z302" i="41"/>
  <c r="Z303" i="41"/>
  <c r="X303" i="41" s="1"/>
  <c r="Z304" i="41"/>
  <c r="Z305" i="41"/>
  <c r="X305" i="41" s="1"/>
  <c r="Z306" i="41"/>
  <c r="X306" i="41" s="1"/>
  <c r="Z307" i="41"/>
  <c r="X307" i="41" s="1"/>
  <c r="Z308" i="41"/>
  <c r="X308" i="41" s="1"/>
  <c r="Z309" i="41"/>
  <c r="X309" i="41" s="1"/>
  <c r="Z310" i="41"/>
  <c r="Z311" i="41"/>
  <c r="X311" i="41" s="1"/>
  <c r="Z312" i="41"/>
  <c r="Z313" i="41"/>
  <c r="X313" i="41" s="1"/>
  <c r="Z314" i="41"/>
  <c r="X314" i="41" s="1"/>
  <c r="Z315" i="41"/>
  <c r="X315" i="41" s="1"/>
  <c r="Z316" i="41"/>
  <c r="X316" i="41" s="1"/>
  <c r="Z317" i="41"/>
  <c r="X317" i="41" s="1"/>
  <c r="Z318" i="41"/>
  <c r="Z319" i="41"/>
  <c r="X319" i="41" s="1"/>
  <c r="Z320" i="41"/>
  <c r="Z321" i="41"/>
  <c r="X321" i="41" s="1"/>
  <c r="Z322" i="41"/>
  <c r="X322" i="41" s="1"/>
  <c r="Z323" i="41"/>
  <c r="X323" i="41" s="1"/>
  <c r="Z324" i="41"/>
  <c r="X324" i="41" s="1"/>
  <c r="Z325" i="41"/>
  <c r="X325" i="41" s="1"/>
  <c r="Z326" i="41"/>
  <c r="Z327" i="41"/>
  <c r="X327" i="41" s="1"/>
  <c r="Z328" i="41"/>
  <c r="Z329" i="41"/>
  <c r="X329" i="41" s="1"/>
  <c r="Z330" i="41"/>
  <c r="X330" i="41" s="1"/>
  <c r="Z331" i="41"/>
  <c r="X331" i="41" s="1"/>
  <c r="Z332" i="41"/>
  <c r="X332" i="41" s="1"/>
  <c r="Z333" i="41"/>
  <c r="X333" i="41" s="1"/>
  <c r="Z334" i="41"/>
  <c r="Z335" i="41"/>
  <c r="X335" i="41" s="1"/>
  <c r="Z336" i="41"/>
  <c r="Z337" i="41"/>
  <c r="X337" i="41" s="1"/>
  <c r="Z338" i="41"/>
  <c r="X338" i="41" s="1"/>
  <c r="Z339" i="41"/>
  <c r="X339" i="41" s="1"/>
  <c r="Z340" i="41"/>
  <c r="X340" i="41" s="1"/>
  <c r="Z341" i="41"/>
  <c r="X341" i="41" s="1"/>
  <c r="Z342" i="41"/>
  <c r="Z343" i="41"/>
  <c r="X343" i="41" s="1"/>
  <c r="Z344" i="41"/>
  <c r="Z345" i="41"/>
  <c r="X345" i="41" s="1"/>
  <c r="Z346" i="41"/>
  <c r="X346" i="41" s="1"/>
  <c r="Z347" i="41"/>
  <c r="X347" i="41" s="1"/>
  <c r="Z348" i="41"/>
  <c r="X348" i="41" s="1"/>
  <c r="Z349" i="41"/>
  <c r="X349" i="41" s="1"/>
  <c r="Z350" i="41"/>
  <c r="Z351" i="41"/>
  <c r="X351" i="41" s="1"/>
  <c r="Z352" i="41"/>
  <c r="Z353" i="41"/>
  <c r="X353" i="41" s="1"/>
  <c r="Z354" i="41"/>
  <c r="X354" i="41" s="1"/>
  <c r="Z355" i="41"/>
  <c r="X355" i="41" s="1"/>
  <c r="Z356" i="41"/>
  <c r="X356" i="41" s="1"/>
  <c r="Z357" i="41"/>
  <c r="X357" i="41" s="1"/>
  <c r="Z358" i="41"/>
  <c r="Z359" i="41"/>
  <c r="X359" i="41" s="1"/>
  <c r="Z360" i="41"/>
  <c r="Z361" i="41"/>
  <c r="X361" i="41" s="1"/>
  <c r="Z362" i="41"/>
  <c r="X362" i="41" s="1"/>
  <c r="Z363" i="41"/>
  <c r="X363" i="41" s="1"/>
  <c r="Z364" i="41"/>
  <c r="X364" i="41" s="1"/>
  <c r="Z365" i="41"/>
  <c r="X365" i="41" s="1"/>
  <c r="Z366" i="41"/>
  <c r="Z367" i="41"/>
  <c r="X367" i="41" s="1"/>
  <c r="Z368" i="41"/>
  <c r="Z369" i="41"/>
  <c r="X369" i="41" s="1"/>
  <c r="Z370" i="41"/>
  <c r="X370" i="41" s="1"/>
  <c r="Z371" i="41"/>
  <c r="X371" i="41" s="1"/>
  <c r="Z372" i="41"/>
  <c r="X372" i="41" s="1"/>
  <c r="Z373" i="41"/>
  <c r="X373" i="41" s="1"/>
  <c r="Z374" i="41"/>
  <c r="Z375" i="41"/>
  <c r="X375" i="41" s="1"/>
  <c r="Z376" i="41"/>
  <c r="Z377" i="41"/>
  <c r="X377" i="41" s="1"/>
  <c r="Z378" i="41"/>
  <c r="X378" i="41" s="1"/>
  <c r="Z379" i="41"/>
  <c r="X379" i="41" s="1"/>
  <c r="Z380" i="41"/>
  <c r="X380" i="41" s="1"/>
  <c r="Z381" i="41"/>
  <c r="X381" i="41" s="1"/>
  <c r="Z382" i="41"/>
  <c r="Z383" i="41"/>
  <c r="X383" i="41" s="1"/>
  <c r="Z384" i="41"/>
  <c r="Z385" i="41"/>
  <c r="X385" i="41" s="1"/>
  <c r="Z386" i="41"/>
  <c r="X386" i="41" s="1"/>
  <c r="Z387" i="41"/>
  <c r="X387" i="41" s="1"/>
  <c r="Z388" i="41"/>
  <c r="X388" i="41" s="1"/>
  <c r="Z389" i="41"/>
  <c r="X389" i="41" s="1"/>
  <c r="Z390" i="41"/>
  <c r="Z391" i="41"/>
  <c r="X391" i="41" s="1"/>
  <c r="Z392" i="41"/>
  <c r="Z393" i="41"/>
  <c r="X393" i="41" s="1"/>
  <c r="Z394" i="41"/>
  <c r="X394" i="41" s="1"/>
  <c r="Z395" i="41"/>
  <c r="X395" i="41" s="1"/>
  <c r="Z396" i="41"/>
  <c r="X396" i="41" s="1"/>
  <c r="Z397" i="41"/>
  <c r="X397" i="41" s="1"/>
  <c r="Z398" i="41"/>
  <c r="Z399" i="41"/>
  <c r="X399" i="41" s="1"/>
  <c r="Z400" i="41"/>
  <c r="Z401" i="41"/>
  <c r="X401" i="41" s="1"/>
  <c r="Z402" i="41"/>
  <c r="X402" i="41" s="1"/>
  <c r="Z403" i="41"/>
  <c r="X403" i="41" s="1"/>
  <c r="Z404" i="41"/>
  <c r="X404" i="41" s="1"/>
  <c r="Z405" i="41"/>
  <c r="X405" i="41" s="1"/>
  <c r="Z406" i="41"/>
  <c r="Z407" i="41"/>
  <c r="X407" i="41" s="1"/>
  <c r="Z408" i="41"/>
  <c r="Z409" i="41"/>
  <c r="X409" i="41" s="1"/>
  <c r="Z410" i="41"/>
  <c r="X410" i="41" s="1"/>
  <c r="Z411" i="41"/>
  <c r="X411" i="41" s="1"/>
  <c r="Z412" i="41"/>
  <c r="X412" i="41" s="1"/>
  <c r="Z413" i="41"/>
  <c r="X413" i="41" s="1"/>
  <c r="Z414" i="41"/>
  <c r="Z415" i="41"/>
  <c r="X415" i="41" s="1"/>
  <c r="Z416" i="41"/>
  <c r="Z417" i="41"/>
  <c r="X417" i="41" s="1"/>
  <c r="Z418" i="41"/>
  <c r="X418" i="41" s="1"/>
  <c r="Z419" i="41"/>
  <c r="X419" i="41" s="1"/>
  <c r="Z420" i="41"/>
  <c r="X420" i="41" s="1"/>
  <c r="Z421" i="41"/>
  <c r="X421" i="41" s="1"/>
  <c r="Z422" i="41"/>
  <c r="Z423" i="41"/>
  <c r="X423" i="41" s="1"/>
  <c r="Z424" i="41"/>
  <c r="Z425" i="41"/>
  <c r="X425" i="41" s="1"/>
  <c r="Z426" i="41"/>
  <c r="X426" i="41" s="1"/>
  <c r="Z427" i="41"/>
  <c r="X427" i="41" s="1"/>
  <c r="Z428" i="41"/>
  <c r="X428" i="41" s="1"/>
  <c r="Z429" i="41"/>
  <c r="X429" i="41" s="1"/>
  <c r="Z430" i="41"/>
  <c r="Z431" i="41"/>
  <c r="X431" i="41" s="1"/>
  <c r="Z432" i="41"/>
  <c r="Z433" i="41"/>
  <c r="X433" i="41" s="1"/>
  <c r="Z434" i="41"/>
  <c r="X434" i="41" s="1"/>
  <c r="Z435" i="41"/>
  <c r="X435" i="41" s="1"/>
  <c r="Z436" i="41"/>
  <c r="X436" i="41" s="1"/>
  <c r="Z437" i="41"/>
  <c r="X437" i="41" s="1"/>
  <c r="Z438" i="41"/>
  <c r="Z439" i="41"/>
  <c r="X439" i="41" s="1"/>
  <c r="Z440" i="41"/>
  <c r="Z441" i="41"/>
  <c r="X441" i="41" s="1"/>
  <c r="Z442" i="41"/>
  <c r="X442" i="41" s="1"/>
  <c r="Z443" i="41"/>
  <c r="X443" i="41" s="1"/>
  <c r="Z444" i="41"/>
  <c r="X444" i="41" s="1"/>
  <c r="Z445" i="41"/>
  <c r="X445" i="41" s="1"/>
  <c r="Z446" i="41"/>
  <c r="Z447" i="41"/>
  <c r="X447" i="41" s="1"/>
  <c r="Z448" i="41"/>
  <c r="Z449" i="41"/>
  <c r="X449" i="41" s="1"/>
  <c r="Z450" i="41"/>
  <c r="X450" i="41" s="1"/>
  <c r="Z451" i="41"/>
  <c r="X451" i="41" s="1"/>
  <c r="Z452" i="41"/>
  <c r="X452" i="41" s="1"/>
  <c r="Z453" i="41"/>
  <c r="X453" i="41" s="1"/>
  <c r="Z454" i="41"/>
  <c r="Z455" i="41"/>
  <c r="X455" i="41" s="1"/>
  <c r="Z456" i="41"/>
  <c r="Z457" i="41"/>
  <c r="X457" i="41" s="1"/>
  <c r="Z458" i="41"/>
  <c r="X458" i="41" s="1"/>
  <c r="Z459" i="41"/>
  <c r="X459" i="41" s="1"/>
  <c r="Z460" i="41"/>
  <c r="X460" i="41" s="1"/>
  <c r="Z461" i="41"/>
  <c r="X461" i="41" s="1"/>
  <c r="Z462" i="41"/>
  <c r="Z463" i="41"/>
  <c r="X463" i="41" s="1"/>
  <c r="Z464" i="41"/>
  <c r="Z465" i="41"/>
  <c r="X465" i="41" s="1"/>
  <c r="Z466" i="41"/>
  <c r="X466" i="41" s="1"/>
  <c r="Z467" i="41"/>
  <c r="X467" i="41" s="1"/>
  <c r="Z468" i="41"/>
  <c r="X468" i="41" s="1"/>
  <c r="Z469" i="41"/>
  <c r="X469" i="41" s="1"/>
  <c r="Z470" i="41"/>
  <c r="Z471" i="41"/>
  <c r="X471" i="41" s="1"/>
  <c r="Z472" i="41"/>
  <c r="Z473" i="41"/>
  <c r="X473" i="41" s="1"/>
  <c r="Z474" i="41"/>
  <c r="X474" i="41" s="1"/>
  <c r="Z475" i="41"/>
  <c r="X475" i="41" s="1"/>
  <c r="Z476" i="41"/>
  <c r="X476" i="41" s="1"/>
  <c r="Z477" i="41"/>
  <c r="X477" i="41" s="1"/>
  <c r="Z478" i="41"/>
  <c r="Z479" i="41"/>
  <c r="X479" i="41" s="1"/>
  <c r="Z480" i="41"/>
  <c r="Z481" i="41"/>
  <c r="X481" i="41" s="1"/>
  <c r="Z482" i="41"/>
  <c r="X482" i="41" s="1"/>
  <c r="Z483" i="41"/>
  <c r="X483" i="41" s="1"/>
  <c r="Z484" i="41"/>
  <c r="X484" i="41" s="1"/>
  <c r="Z485" i="41"/>
  <c r="X485" i="41" s="1"/>
  <c r="Z486" i="41"/>
  <c r="Z487" i="41"/>
  <c r="X487" i="41" s="1"/>
  <c r="Z488" i="41"/>
  <c r="Z489" i="41"/>
  <c r="X489" i="41" s="1"/>
  <c r="Z490" i="41"/>
  <c r="X490" i="41" s="1"/>
  <c r="Z491" i="41"/>
  <c r="X491" i="41" s="1"/>
  <c r="Z492" i="41"/>
  <c r="X492" i="41" s="1"/>
  <c r="Z493" i="41"/>
  <c r="X493" i="41" s="1"/>
  <c r="Z494" i="41"/>
  <c r="Z495" i="41"/>
  <c r="X495" i="41" s="1"/>
  <c r="Z496" i="41"/>
  <c r="Z497" i="41"/>
  <c r="X497" i="41" s="1"/>
  <c r="Z498" i="41"/>
  <c r="X498" i="41" s="1"/>
  <c r="Z499" i="41"/>
  <c r="X499" i="41" s="1"/>
  <c r="Z500" i="41"/>
  <c r="X500" i="41" s="1"/>
  <c r="Z4" i="41"/>
  <c r="X4" i="41" s="1"/>
  <c r="Z5" i="41"/>
  <c r="X5" i="41" s="1"/>
  <c r="Z6" i="41"/>
  <c r="X6" i="41" s="1"/>
  <c r="Z7" i="41"/>
  <c r="X7" i="41" s="1"/>
  <c r="Z8" i="41"/>
  <c r="X8" i="41" s="1"/>
  <c r="Z9" i="41"/>
  <c r="X9" i="41" s="1"/>
  <c r="Z10" i="41"/>
  <c r="X10" i="41" s="1"/>
  <c r="Z11" i="41"/>
  <c r="X11" i="41" s="1"/>
  <c r="Z12" i="41"/>
  <c r="X12" i="41" s="1"/>
  <c r="Z13" i="41"/>
  <c r="X13" i="41" s="1"/>
  <c r="Z14" i="41"/>
  <c r="X14" i="41" s="1"/>
  <c r="Z15" i="41"/>
  <c r="X15" i="41" s="1"/>
  <c r="Z16" i="41"/>
  <c r="X16" i="41" s="1"/>
  <c r="Z17" i="41"/>
  <c r="X17" i="41" s="1"/>
  <c r="Z18" i="41"/>
  <c r="X18" i="41" s="1"/>
  <c r="Z19" i="41"/>
  <c r="X19" i="41" s="1"/>
  <c r="Z20" i="41"/>
  <c r="X20" i="41" s="1"/>
  <c r="Z21" i="41"/>
  <c r="X21" i="41" s="1"/>
  <c r="Z22" i="41"/>
  <c r="X22" i="41" s="1"/>
  <c r="Z23" i="41"/>
  <c r="X23" i="41" s="1"/>
  <c r="Z24" i="41"/>
  <c r="X24" i="41" s="1"/>
  <c r="Z25" i="41"/>
  <c r="X25" i="41" s="1"/>
  <c r="Z26" i="41"/>
  <c r="X26" i="41" s="1"/>
  <c r="Z27" i="41"/>
  <c r="X27" i="41" s="1"/>
  <c r="Z28" i="41"/>
  <c r="X28" i="41" s="1"/>
  <c r="Z29" i="41"/>
  <c r="X29" i="41" s="1"/>
  <c r="Z30" i="41"/>
  <c r="X30" i="41" s="1"/>
  <c r="Z31" i="41"/>
  <c r="X31" i="41" s="1"/>
  <c r="Z32" i="41"/>
  <c r="X32" i="41" s="1"/>
  <c r="Z33" i="41"/>
  <c r="X33" i="41" s="1"/>
  <c r="Z34" i="41"/>
  <c r="X34" i="41" s="1"/>
  <c r="Z35" i="41"/>
  <c r="X35" i="41" s="1"/>
  <c r="Z36" i="41"/>
  <c r="X36" i="41" s="1"/>
  <c r="Z37" i="41"/>
  <c r="X37" i="41" s="1"/>
  <c r="Z38" i="41"/>
  <c r="X38" i="41" s="1"/>
  <c r="Z39" i="41"/>
  <c r="X39" i="41" s="1"/>
  <c r="Z40" i="41"/>
  <c r="X40" i="41" s="1"/>
  <c r="Z41" i="41"/>
  <c r="X41" i="41" s="1"/>
  <c r="Z42" i="41"/>
  <c r="X42" i="41" s="1"/>
  <c r="Z43" i="41"/>
  <c r="X43" i="41" s="1"/>
  <c r="Z44" i="41"/>
  <c r="X44" i="41" s="1"/>
  <c r="Z45" i="41"/>
  <c r="X45" i="41" s="1"/>
  <c r="Z46" i="41"/>
  <c r="X46" i="41" s="1"/>
  <c r="Z47" i="41"/>
  <c r="X47" i="41" s="1"/>
  <c r="Z48" i="41"/>
  <c r="X48" i="41" s="1"/>
  <c r="Z49" i="41"/>
  <c r="X49" i="41" s="1"/>
  <c r="Z50" i="41"/>
  <c r="X50" i="41" s="1"/>
  <c r="Z51" i="41"/>
  <c r="X51" i="41" s="1"/>
  <c r="Z52" i="41"/>
  <c r="X52" i="41" s="1"/>
  <c r="Z53" i="41"/>
  <c r="X53" i="41" s="1"/>
  <c r="Z54" i="41"/>
  <c r="X54" i="41" s="1"/>
  <c r="Z55" i="41"/>
  <c r="X55" i="41" s="1"/>
  <c r="Z56" i="41"/>
  <c r="X56" i="41" s="1"/>
  <c r="Z57" i="41"/>
  <c r="X57" i="41" s="1"/>
  <c r="Z58" i="41"/>
  <c r="X58" i="41" s="1"/>
  <c r="Z59" i="41"/>
  <c r="X59" i="41" s="1"/>
  <c r="Z60" i="41"/>
  <c r="X60" i="41" s="1"/>
  <c r="Z61" i="41"/>
  <c r="X61" i="41" s="1"/>
  <c r="Z62" i="41"/>
  <c r="X62" i="41" s="1"/>
  <c r="Z63" i="41"/>
  <c r="X63" i="41" s="1"/>
  <c r="Z64" i="41"/>
  <c r="X64" i="41" s="1"/>
  <c r="Z65" i="41"/>
  <c r="X65" i="41" s="1"/>
  <c r="Z66" i="41"/>
  <c r="X66" i="41" s="1"/>
  <c r="Z67" i="41"/>
  <c r="X67" i="41" s="1"/>
  <c r="Z68" i="41"/>
  <c r="X68" i="41" s="1"/>
  <c r="Z69" i="41"/>
  <c r="X69" i="41" s="1"/>
  <c r="Z70" i="41"/>
  <c r="X70" i="41" s="1"/>
  <c r="Z71" i="41"/>
  <c r="X71" i="41" s="1"/>
  <c r="Z72" i="41"/>
  <c r="X72" i="41" s="1"/>
  <c r="Z73" i="41"/>
  <c r="X73" i="41" s="1"/>
  <c r="Z74" i="41"/>
  <c r="X74" i="41" s="1"/>
  <c r="Z75" i="41"/>
  <c r="X75" i="41" s="1"/>
  <c r="Z76" i="41"/>
  <c r="X76" i="41" s="1"/>
  <c r="Z77" i="41"/>
  <c r="X77" i="41" s="1"/>
  <c r="Z78" i="41"/>
  <c r="X78" i="41" s="1"/>
  <c r="Z79" i="41"/>
  <c r="X79" i="41" s="1"/>
  <c r="Z80" i="41"/>
  <c r="X80" i="41" s="1"/>
  <c r="Z81" i="41"/>
  <c r="X81" i="41" s="1"/>
  <c r="Z82" i="41"/>
  <c r="X82" i="41" s="1"/>
  <c r="Z3" i="41"/>
  <c r="X3" i="41" s="1"/>
  <c r="Z32" i="40"/>
  <c r="X32" i="40" s="1"/>
  <c r="Z33" i="40"/>
  <c r="X33" i="40" s="1"/>
  <c r="Z34" i="40"/>
  <c r="X34" i="40" s="1"/>
  <c r="Z35" i="40"/>
  <c r="X35" i="40" s="1"/>
  <c r="Z36" i="40"/>
  <c r="X36" i="40" s="1"/>
  <c r="Z37" i="40"/>
  <c r="X37" i="40" s="1"/>
  <c r="Z38" i="40"/>
  <c r="X38" i="40" s="1"/>
  <c r="Z39" i="40"/>
  <c r="X39" i="40" s="1"/>
  <c r="Z40" i="40"/>
  <c r="X40" i="40" s="1"/>
  <c r="Z41" i="40"/>
  <c r="X41" i="40" s="1"/>
  <c r="Z42" i="40"/>
  <c r="X42" i="40" s="1"/>
  <c r="Z43" i="40"/>
  <c r="X43" i="40" s="1"/>
  <c r="Z44" i="40"/>
  <c r="X44" i="40" s="1"/>
  <c r="Z45" i="40"/>
  <c r="X45" i="40" s="1"/>
  <c r="Z46" i="40"/>
  <c r="X46" i="40" s="1"/>
  <c r="Z47" i="40"/>
  <c r="X47" i="40" s="1"/>
  <c r="Z48" i="40"/>
  <c r="X48" i="40" s="1"/>
  <c r="Z49" i="40"/>
  <c r="X49" i="40" s="1"/>
  <c r="Z50" i="40"/>
  <c r="X50" i="40" s="1"/>
  <c r="Z51" i="40"/>
  <c r="X51" i="40" s="1"/>
  <c r="Z52" i="40"/>
  <c r="X52" i="40" s="1"/>
  <c r="Z53" i="40"/>
  <c r="X53" i="40" s="1"/>
  <c r="Z54" i="40"/>
  <c r="X54" i="40" s="1"/>
  <c r="Z55" i="40"/>
  <c r="X55" i="40" s="1"/>
  <c r="Z56" i="40"/>
  <c r="X56" i="40" s="1"/>
  <c r="Z57" i="40"/>
  <c r="X57" i="40" s="1"/>
  <c r="Z58" i="40"/>
  <c r="X58" i="40" s="1"/>
  <c r="Z59" i="40"/>
  <c r="X59" i="40" s="1"/>
  <c r="Z60" i="40"/>
  <c r="X60" i="40" s="1"/>
  <c r="Z61" i="40"/>
  <c r="X61" i="40" s="1"/>
  <c r="Z62" i="40"/>
  <c r="X62" i="40" s="1"/>
  <c r="Z63" i="40"/>
  <c r="X63" i="40" s="1"/>
  <c r="Z64" i="40"/>
  <c r="X64" i="40" s="1"/>
  <c r="Z65" i="40"/>
  <c r="X65" i="40" s="1"/>
  <c r="Z66" i="40"/>
  <c r="X66" i="40" s="1"/>
  <c r="Z67" i="40"/>
  <c r="X67" i="40" s="1"/>
  <c r="Z68" i="40"/>
  <c r="X68" i="40" s="1"/>
  <c r="Z69" i="40"/>
  <c r="X69" i="40" s="1"/>
  <c r="Z70" i="40"/>
  <c r="X70" i="40" s="1"/>
  <c r="Z71" i="40"/>
  <c r="X71" i="40" s="1"/>
  <c r="Z72" i="40"/>
  <c r="X72" i="40" s="1"/>
  <c r="Z73" i="40"/>
  <c r="X73" i="40" s="1"/>
  <c r="Z74" i="40"/>
  <c r="X74" i="40" s="1"/>
  <c r="Z75" i="40"/>
  <c r="X75" i="40" s="1"/>
  <c r="Z76" i="40"/>
  <c r="X76" i="40" s="1"/>
  <c r="Z77" i="40"/>
  <c r="X77" i="40" s="1"/>
  <c r="Z78" i="40"/>
  <c r="X78" i="40" s="1"/>
  <c r="Z79" i="40"/>
  <c r="X79" i="40" s="1"/>
  <c r="Z80" i="40"/>
  <c r="X80" i="40" s="1"/>
  <c r="Z81" i="40"/>
  <c r="X81" i="40" s="1"/>
  <c r="Z82" i="40"/>
  <c r="X82" i="40" s="1"/>
  <c r="Z83" i="40"/>
  <c r="X83" i="40" s="1"/>
  <c r="Z84" i="40"/>
  <c r="X84" i="40" s="1"/>
  <c r="Z85" i="40"/>
  <c r="X85" i="40" s="1"/>
  <c r="Z86" i="40"/>
  <c r="X86" i="40" s="1"/>
  <c r="Z87" i="40"/>
  <c r="X87" i="40" s="1"/>
  <c r="Z88" i="40"/>
  <c r="X88" i="40" s="1"/>
  <c r="Z89" i="40"/>
  <c r="X89" i="40" s="1"/>
  <c r="Z90" i="40"/>
  <c r="X90" i="40" s="1"/>
  <c r="Z91" i="40"/>
  <c r="X91" i="40" s="1"/>
  <c r="Z92" i="40"/>
  <c r="X92" i="40" s="1"/>
  <c r="Z93" i="40"/>
  <c r="X93" i="40" s="1"/>
  <c r="Z94" i="40"/>
  <c r="X94" i="40" s="1"/>
  <c r="Z95" i="40"/>
  <c r="X95" i="40" s="1"/>
  <c r="Z96" i="40"/>
  <c r="X96" i="40" s="1"/>
  <c r="Z97" i="40"/>
  <c r="X97" i="40" s="1"/>
  <c r="Z98" i="40"/>
  <c r="X98" i="40" s="1"/>
  <c r="Z99" i="40"/>
  <c r="X99" i="40" s="1"/>
  <c r="Z100" i="40"/>
  <c r="X100" i="40" s="1"/>
  <c r="Z101" i="40"/>
  <c r="X101" i="40" s="1"/>
  <c r="Z102" i="40"/>
  <c r="X102" i="40" s="1"/>
  <c r="Z103" i="40"/>
  <c r="X103" i="40" s="1"/>
  <c r="Z104" i="40"/>
  <c r="X104" i="40" s="1"/>
  <c r="Z105" i="40"/>
  <c r="X105" i="40" s="1"/>
  <c r="Z106" i="40"/>
  <c r="X106" i="40" s="1"/>
  <c r="Z107" i="40"/>
  <c r="X107" i="40" s="1"/>
  <c r="Z108" i="40"/>
  <c r="X108" i="40" s="1"/>
  <c r="Z109" i="40"/>
  <c r="X109" i="40" s="1"/>
  <c r="Z110" i="40"/>
  <c r="X110" i="40" s="1"/>
  <c r="Z111" i="40"/>
  <c r="X111" i="40" s="1"/>
  <c r="Z112" i="40"/>
  <c r="X112" i="40" s="1"/>
  <c r="Z113" i="40"/>
  <c r="X113" i="40" s="1"/>
  <c r="Z114" i="40"/>
  <c r="X114" i="40" s="1"/>
  <c r="Z115" i="40"/>
  <c r="X115" i="40" s="1"/>
  <c r="Z116" i="40"/>
  <c r="X116" i="40" s="1"/>
  <c r="Z117" i="40"/>
  <c r="X117" i="40" s="1"/>
  <c r="Z118" i="40"/>
  <c r="X118" i="40" s="1"/>
  <c r="Z119" i="40"/>
  <c r="X119" i="40" s="1"/>
  <c r="Z120" i="40"/>
  <c r="X120" i="40" s="1"/>
  <c r="Z121" i="40"/>
  <c r="X121" i="40" s="1"/>
  <c r="Z122" i="40"/>
  <c r="X122" i="40" s="1"/>
  <c r="Z123" i="40"/>
  <c r="X123" i="40" s="1"/>
  <c r="Z124" i="40"/>
  <c r="X124" i="40" s="1"/>
  <c r="Z125" i="40"/>
  <c r="X125" i="40" s="1"/>
  <c r="Z126" i="40"/>
  <c r="X126" i="40" s="1"/>
  <c r="Z127" i="40"/>
  <c r="X127" i="40" s="1"/>
  <c r="Z128" i="40"/>
  <c r="X128" i="40" s="1"/>
  <c r="Z129" i="40"/>
  <c r="X129" i="40" s="1"/>
  <c r="Z130" i="40"/>
  <c r="X130" i="40" s="1"/>
  <c r="Z131" i="40"/>
  <c r="X131" i="40" s="1"/>
  <c r="Z132" i="40"/>
  <c r="X132" i="40" s="1"/>
  <c r="Z133" i="40"/>
  <c r="X133" i="40" s="1"/>
  <c r="Z134" i="40"/>
  <c r="X134" i="40" s="1"/>
  <c r="Z135" i="40"/>
  <c r="X135" i="40" s="1"/>
  <c r="Z136" i="40"/>
  <c r="X136" i="40" s="1"/>
  <c r="Z137" i="40"/>
  <c r="X137" i="40" s="1"/>
  <c r="Z138" i="40"/>
  <c r="X138" i="40" s="1"/>
  <c r="X139" i="40"/>
  <c r="Z139" i="40"/>
  <c r="Z140" i="40"/>
  <c r="X140" i="40" s="1"/>
  <c r="Z141" i="40"/>
  <c r="X141" i="40" s="1"/>
  <c r="Z142" i="40"/>
  <c r="X142" i="40" s="1"/>
  <c r="Z143" i="40"/>
  <c r="X143" i="40" s="1"/>
  <c r="X144" i="40"/>
  <c r="Z144" i="40"/>
  <c r="Z145" i="40"/>
  <c r="X145" i="40" s="1"/>
  <c r="Z146" i="40"/>
  <c r="X146" i="40" s="1"/>
  <c r="Z147" i="40"/>
  <c r="X147" i="40" s="1"/>
  <c r="Z148" i="40"/>
  <c r="X148" i="40" s="1"/>
  <c r="Z149" i="40"/>
  <c r="X149" i="40" s="1"/>
  <c r="Z150" i="40"/>
  <c r="X150" i="40" s="1"/>
  <c r="Z151" i="40"/>
  <c r="X151" i="40" s="1"/>
  <c r="Z152" i="40"/>
  <c r="X152" i="40" s="1"/>
  <c r="Z153" i="40"/>
  <c r="X153" i="40" s="1"/>
  <c r="Z154" i="40"/>
  <c r="X154" i="40" s="1"/>
  <c r="X155" i="40"/>
  <c r="Z155" i="40"/>
  <c r="Z156" i="40"/>
  <c r="X156" i="40" s="1"/>
  <c r="Z157" i="40"/>
  <c r="X157" i="40" s="1"/>
  <c r="Z158" i="40"/>
  <c r="X158" i="40" s="1"/>
  <c r="Z159" i="40"/>
  <c r="X159" i="40" s="1"/>
  <c r="X160" i="40"/>
  <c r="Z160" i="40"/>
  <c r="Z161" i="40"/>
  <c r="X161" i="40" s="1"/>
  <c r="Z162" i="40"/>
  <c r="X162" i="40" s="1"/>
  <c r="Z163" i="40"/>
  <c r="X163" i="40" s="1"/>
  <c r="Z164" i="40"/>
  <c r="X164" i="40" s="1"/>
  <c r="Z165" i="40"/>
  <c r="X165" i="40" s="1"/>
  <c r="Z166" i="40"/>
  <c r="X166" i="40" s="1"/>
  <c r="Z167" i="40"/>
  <c r="X167" i="40" s="1"/>
  <c r="Z168" i="40"/>
  <c r="X168" i="40" s="1"/>
  <c r="Z169" i="40"/>
  <c r="X169" i="40" s="1"/>
  <c r="Z170" i="40"/>
  <c r="X170" i="40" s="1"/>
  <c r="X171" i="40"/>
  <c r="Z171" i="40"/>
  <c r="Z172" i="40"/>
  <c r="X172" i="40" s="1"/>
  <c r="Z173" i="40"/>
  <c r="X173" i="40" s="1"/>
  <c r="Z174" i="40"/>
  <c r="X174" i="40" s="1"/>
  <c r="Z175" i="40"/>
  <c r="X175" i="40" s="1"/>
  <c r="X176" i="40"/>
  <c r="Z176" i="40"/>
  <c r="Z177" i="40"/>
  <c r="X177" i="40" s="1"/>
  <c r="Z178" i="40"/>
  <c r="X178" i="40" s="1"/>
  <c r="Z179" i="40"/>
  <c r="X179" i="40" s="1"/>
  <c r="Z180" i="40"/>
  <c r="X180" i="40" s="1"/>
  <c r="Z181" i="40"/>
  <c r="X181" i="40" s="1"/>
  <c r="Z182" i="40"/>
  <c r="X182" i="40" s="1"/>
  <c r="Z183" i="40"/>
  <c r="X183" i="40" s="1"/>
  <c r="Z184" i="40"/>
  <c r="X184" i="40" s="1"/>
  <c r="Z185" i="40"/>
  <c r="X185" i="40" s="1"/>
  <c r="Z186" i="40"/>
  <c r="X186" i="40" s="1"/>
  <c r="X187" i="40"/>
  <c r="Z187" i="40"/>
  <c r="Z188" i="40"/>
  <c r="X188" i="40" s="1"/>
  <c r="Z189" i="40"/>
  <c r="X189" i="40" s="1"/>
  <c r="Z190" i="40"/>
  <c r="X190" i="40" s="1"/>
  <c r="Z191" i="40"/>
  <c r="X191" i="40" s="1"/>
  <c r="X192" i="40"/>
  <c r="Z192" i="40"/>
  <c r="Z193" i="40"/>
  <c r="X193" i="40" s="1"/>
  <c r="Z194" i="40"/>
  <c r="X194" i="40" s="1"/>
  <c r="Z195" i="40"/>
  <c r="X195" i="40" s="1"/>
  <c r="Z196" i="40"/>
  <c r="X196" i="40" s="1"/>
  <c r="Z197" i="40"/>
  <c r="X197" i="40" s="1"/>
  <c r="Z198" i="40"/>
  <c r="X198" i="40" s="1"/>
  <c r="Z199" i="40"/>
  <c r="X199" i="40" s="1"/>
  <c r="Z200" i="40"/>
  <c r="X200" i="40" s="1"/>
  <c r="Z4" i="40"/>
  <c r="X4" i="40" s="1"/>
  <c r="Z5" i="40"/>
  <c r="X5" i="40" s="1"/>
  <c r="Z6" i="40"/>
  <c r="X6" i="40" s="1"/>
  <c r="Z7" i="40"/>
  <c r="X7" i="40" s="1"/>
  <c r="Z8" i="40"/>
  <c r="X8" i="40" s="1"/>
  <c r="Z9" i="40"/>
  <c r="X9" i="40" s="1"/>
  <c r="Z10" i="40"/>
  <c r="X10" i="40" s="1"/>
  <c r="Z11" i="40"/>
  <c r="X11" i="40" s="1"/>
  <c r="Z12" i="40"/>
  <c r="X12" i="40" s="1"/>
  <c r="Z13" i="40"/>
  <c r="X13" i="40" s="1"/>
  <c r="Z14" i="40"/>
  <c r="X14" i="40" s="1"/>
  <c r="Z15" i="40"/>
  <c r="X15" i="40" s="1"/>
  <c r="Z16" i="40"/>
  <c r="X16" i="40" s="1"/>
  <c r="Z17" i="40"/>
  <c r="X17" i="40" s="1"/>
  <c r="Z18" i="40"/>
  <c r="X18" i="40" s="1"/>
  <c r="Z19" i="40"/>
  <c r="X19" i="40" s="1"/>
  <c r="Z20" i="40"/>
  <c r="X20" i="40" s="1"/>
  <c r="Z21" i="40"/>
  <c r="X21" i="40" s="1"/>
  <c r="Z22" i="40"/>
  <c r="X22" i="40" s="1"/>
  <c r="Z23" i="40"/>
  <c r="X23" i="40" s="1"/>
  <c r="Z24" i="40"/>
  <c r="X24" i="40" s="1"/>
  <c r="Z25" i="40"/>
  <c r="X25" i="40" s="1"/>
  <c r="Z26" i="40"/>
  <c r="X26" i="40" s="1"/>
  <c r="Z27" i="40"/>
  <c r="X27" i="40" s="1"/>
  <c r="Z28" i="40"/>
  <c r="X28" i="40" s="1"/>
  <c r="Z29" i="40"/>
  <c r="X29" i="40" s="1"/>
  <c r="Z30" i="40"/>
  <c r="X30" i="40" s="1"/>
  <c r="Z31" i="40"/>
  <c r="X31" i="40" s="1"/>
  <c r="Z3" i="40"/>
  <c r="X3" i="40" s="1"/>
  <c r="AE49" i="20" l="1"/>
  <c r="AE48" i="20"/>
  <c r="AE47" i="20"/>
  <c r="Z46" i="20"/>
  <c r="X46" i="20"/>
  <c r="E6" i="23"/>
  <c r="C6" i="23"/>
  <c r="C6" i="24"/>
  <c r="C25" i="24" s="1"/>
  <c r="M6" i="22"/>
  <c r="F6" i="22"/>
  <c r="D6" i="22"/>
  <c r="H5" i="21"/>
  <c r="H38" i="21" s="1"/>
  <c r="H41" i="21" s="1"/>
  <c r="L8" i="20"/>
  <c r="J8" i="20"/>
  <c r="D8" i="20"/>
  <c r="J6" i="34"/>
  <c r="D6" i="34"/>
  <c r="J6" i="35"/>
  <c r="D6" i="35"/>
  <c r="L6" i="1"/>
  <c r="L6" i="27"/>
  <c r="L8" i="27" s="1"/>
  <c r="H6" i="27"/>
  <c r="H9" i="27" s="1"/>
  <c r="U2" i="32"/>
  <c r="AE46" i="20" s="1"/>
  <c r="T2" i="32"/>
  <c r="I6" i="34" s="1"/>
  <c r="S2" i="32"/>
  <c r="L6" i="22" s="1"/>
  <c r="R2" i="32"/>
  <c r="K6" i="22" s="1"/>
  <c r="Q2" i="32"/>
  <c r="I8" i="20" s="1"/>
  <c r="P2" i="32"/>
  <c r="O2" i="32"/>
  <c r="N2" i="32"/>
  <c r="G5" i="21" s="1"/>
  <c r="M2" i="32"/>
  <c r="W46" i="20" s="1"/>
  <c r="L2" i="32"/>
  <c r="V46" i="20" s="1"/>
  <c r="K2" i="32"/>
  <c r="C6" i="22" s="1"/>
  <c r="AH75" i="32" l="1"/>
  <c r="I17" i="34"/>
  <c r="I20" i="34"/>
  <c r="I26" i="34"/>
  <c r="I12" i="34"/>
  <c r="I24" i="34"/>
  <c r="I22" i="34"/>
  <c r="I8" i="34"/>
  <c r="I13" i="34"/>
  <c r="I7" i="34"/>
  <c r="I14" i="34"/>
  <c r="I15" i="34"/>
  <c r="I16" i="34"/>
  <c r="AI75" i="32"/>
  <c r="J20" i="34"/>
  <c r="J13" i="34"/>
  <c r="J24" i="34"/>
  <c r="J8" i="34"/>
  <c r="J22" i="34"/>
  <c r="J26" i="34"/>
  <c r="J12" i="34"/>
  <c r="J7" i="34"/>
  <c r="J14" i="34"/>
  <c r="J16" i="34"/>
  <c r="J15" i="34"/>
  <c r="J17" i="34"/>
  <c r="C14" i="23"/>
  <c r="C12" i="23"/>
  <c r="C13" i="23"/>
  <c r="C11" i="23"/>
  <c r="C15" i="23"/>
  <c r="C16" i="23"/>
  <c r="L9" i="27"/>
  <c r="J6" i="27"/>
  <c r="C6" i="35"/>
  <c r="C6" i="34"/>
  <c r="C8" i="20"/>
  <c r="K8" i="20"/>
  <c r="I5" i="21"/>
  <c r="I38" i="21" s="1"/>
  <c r="I41" i="21" s="1"/>
  <c r="E6" i="22"/>
  <c r="N6" i="22"/>
  <c r="D6" i="23"/>
  <c r="Y46" i="20"/>
  <c r="L22" i="1"/>
  <c r="L21" i="1"/>
  <c r="L20" i="1"/>
  <c r="L19" i="1"/>
  <c r="L18" i="1"/>
  <c r="L17" i="1"/>
  <c r="L16" i="1"/>
  <c r="J5" i="21"/>
  <c r="J38" i="21" s="1"/>
  <c r="C6" i="1"/>
  <c r="E6" i="35"/>
  <c r="E6" i="34"/>
  <c r="E8" i="20"/>
  <c r="M8" i="20"/>
  <c r="K5" i="21"/>
  <c r="K38" i="21" s="1"/>
  <c r="G6" i="22"/>
  <c r="D6" i="24"/>
  <c r="F6" i="23"/>
  <c r="AA46" i="20"/>
  <c r="L10" i="1"/>
  <c r="L12" i="1"/>
  <c r="L10" i="27"/>
  <c r="H11" i="27"/>
  <c r="D6" i="1"/>
  <c r="F6" i="35"/>
  <c r="F6" i="34"/>
  <c r="F8" i="20"/>
  <c r="D5" i="21"/>
  <c r="L5" i="21"/>
  <c r="L38" i="21" s="1"/>
  <c r="L41" i="21" s="1"/>
  <c r="H6" i="22"/>
  <c r="E6" i="24"/>
  <c r="G6" i="23"/>
  <c r="AB46" i="20"/>
  <c r="H12" i="27"/>
  <c r="K12" i="27" s="1"/>
  <c r="L8" i="1"/>
  <c r="L12" i="27"/>
  <c r="L11" i="27"/>
  <c r="C6" i="27"/>
  <c r="F6" i="1"/>
  <c r="G6" i="35"/>
  <c r="G6" i="34"/>
  <c r="G8" i="20"/>
  <c r="E5" i="21"/>
  <c r="M5" i="21"/>
  <c r="M38" i="21" s="1"/>
  <c r="M41" i="21" s="1"/>
  <c r="J6" i="22"/>
  <c r="F6" i="24"/>
  <c r="H6" i="23"/>
  <c r="U46" i="20"/>
  <c r="AC46" i="20"/>
  <c r="H8" i="27"/>
  <c r="L11" i="1"/>
  <c r="L20" i="27"/>
  <c r="L19" i="27"/>
  <c r="L18" i="27"/>
  <c r="L17" i="27"/>
  <c r="L16" i="27"/>
  <c r="L22" i="27"/>
  <c r="L21" i="27"/>
  <c r="E15" i="23"/>
  <c r="E13" i="23"/>
  <c r="E16" i="23"/>
  <c r="E11" i="23"/>
  <c r="E12" i="23"/>
  <c r="E14" i="23"/>
  <c r="L9" i="1"/>
  <c r="D6" i="27"/>
  <c r="H6" i="1"/>
  <c r="H6" i="35"/>
  <c r="H6" i="34"/>
  <c r="H8" i="20"/>
  <c r="F5" i="21"/>
  <c r="N5" i="21"/>
  <c r="N38" i="21" s="1"/>
  <c r="G6" i="24"/>
  <c r="AD46" i="20"/>
  <c r="H18" i="27"/>
  <c r="H17" i="27"/>
  <c r="H16" i="27"/>
  <c r="H29" i="27"/>
  <c r="H22" i="27"/>
  <c r="H21" i="27"/>
  <c r="H20" i="27"/>
  <c r="H19" i="27"/>
  <c r="AC75" i="32"/>
  <c r="D22" i="34"/>
  <c r="D26" i="34"/>
  <c r="D12" i="34"/>
  <c r="D8" i="34"/>
  <c r="D13" i="34"/>
  <c r="D15" i="34"/>
  <c r="D7" i="34"/>
  <c r="D14" i="34"/>
  <c r="D16" i="34"/>
  <c r="D20" i="34"/>
  <c r="D17" i="34"/>
  <c r="D24" i="34"/>
  <c r="F6" i="27"/>
  <c r="J6" i="1"/>
  <c r="I6" i="35"/>
  <c r="H6" i="24"/>
  <c r="H10" i="27"/>
  <c r="K41" i="21"/>
  <c r="J21" i="1" l="1"/>
  <c r="J20" i="1"/>
  <c r="J19" i="1"/>
  <c r="J18" i="1"/>
  <c r="J16" i="1"/>
  <c r="J17" i="1"/>
  <c r="J22" i="1"/>
  <c r="J9" i="1"/>
  <c r="J8" i="1"/>
  <c r="J11" i="1"/>
  <c r="J12" i="1"/>
  <c r="J10" i="1"/>
  <c r="F17" i="27"/>
  <c r="F16" i="27"/>
  <c r="F22" i="27"/>
  <c r="F29" i="27"/>
  <c r="F21" i="27"/>
  <c r="F20" i="27"/>
  <c r="F19" i="27"/>
  <c r="F18" i="27"/>
  <c r="F9" i="27"/>
  <c r="I9" i="27" s="1"/>
  <c r="F10" i="27"/>
  <c r="I10" i="27" s="1"/>
  <c r="F8" i="27"/>
  <c r="I8" i="27" s="1"/>
  <c r="F12" i="27"/>
  <c r="F11" i="27"/>
  <c r="I11" i="27" s="1"/>
  <c r="AF75" i="32"/>
  <c r="G15" i="34"/>
  <c r="G16" i="34"/>
  <c r="G20" i="34"/>
  <c r="G17" i="34"/>
  <c r="G24" i="34"/>
  <c r="G13" i="34"/>
  <c r="G22" i="34"/>
  <c r="G26" i="34"/>
  <c r="G12" i="34"/>
  <c r="G8" i="34"/>
  <c r="G7" i="34"/>
  <c r="G14" i="34"/>
  <c r="AE75" i="32"/>
  <c r="F7" i="34"/>
  <c r="F14" i="34"/>
  <c r="F17" i="34"/>
  <c r="F15" i="34"/>
  <c r="F16" i="34"/>
  <c r="F20" i="34"/>
  <c r="F26" i="34"/>
  <c r="F24" i="34"/>
  <c r="F22" i="34"/>
  <c r="F12" i="34"/>
  <c r="F8" i="34"/>
  <c r="F13" i="34"/>
  <c r="G25" i="24"/>
  <c r="G35" i="24"/>
  <c r="N41" i="21"/>
  <c r="F15" i="23"/>
  <c r="F13" i="23"/>
  <c r="F16" i="23"/>
  <c r="F11" i="23"/>
  <c r="F14" i="23"/>
  <c r="F12" i="23"/>
  <c r="C17" i="1"/>
  <c r="C20" i="1"/>
  <c r="C16" i="1"/>
  <c r="C22" i="1"/>
  <c r="C21" i="1"/>
  <c r="C19" i="1"/>
  <c r="C18" i="1"/>
  <c r="C9" i="1"/>
  <c r="C12" i="1"/>
  <c r="C8" i="1"/>
  <c r="C10" i="1"/>
  <c r="C11" i="1"/>
  <c r="H16" i="23"/>
  <c r="H11" i="23"/>
  <c r="H14" i="23"/>
  <c r="H12" i="23"/>
  <c r="H15" i="23"/>
  <c r="H13" i="23"/>
  <c r="F19" i="1"/>
  <c r="F18" i="1"/>
  <c r="F17" i="1"/>
  <c r="F22" i="1"/>
  <c r="F16" i="1"/>
  <c r="F21" i="1"/>
  <c r="F20" i="1"/>
  <c r="F11" i="1"/>
  <c r="F9" i="1"/>
  <c r="F10" i="1"/>
  <c r="F8" i="1"/>
  <c r="F12" i="1"/>
  <c r="G13" i="23"/>
  <c r="G16" i="23"/>
  <c r="G14" i="23"/>
  <c r="G11" i="23"/>
  <c r="G15" i="23"/>
  <c r="G12" i="23"/>
  <c r="D18" i="1"/>
  <c r="D17" i="1"/>
  <c r="D21" i="1"/>
  <c r="D16" i="1"/>
  <c r="D22" i="1"/>
  <c r="D20" i="1"/>
  <c r="D19" i="1"/>
  <c r="D9" i="1"/>
  <c r="D8" i="1"/>
  <c r="D12" i="1"/>
  <c r="D10" i="1"/>
  <c r="D11" i="1"/>
  <c r="D35" i="24"/>
  <c r="D25" i="24"/>
  <c r="J41" i="21"/>
  <c r="C8" i="34"/>
  <c r="C7" i="34"/>
  <c r="AA75" i="32"/>
  <c r="AB75" i="32"/>
  <c r="C13" i="34"/>
  <c r="C20" i="34"/>
  <c r="C22" i="34"/>
  <c r="C26" i="34"/>
  <c r="C12" i="34"/>
  <c r="C24" i="34"/>
  <c r="C17" i="34"/>
  <c r="C15" i="34"/>
  <c r="C16" i="34"/>
  <c r="C14" i="34"/>
  <c r="D16" i="27"/>
  <c r="D22" i="27"/>
  <c r="D21" i="27"/>
  <c r="D20" i="27"/>
  <c r="D29" i="27"/>
  <c r="D19" i="27"/>
  <c r="D18" i="27"/>
  <c r="D17" i="27"/>
  <c r="D11" i="27"/>
  <c r="G11" i="27" s="1"/>
  <c r="D10" i="27"/>
  <c r="G10" i="27" s="1"/>
  <c r="D8" i="27"/>
  <c r="G8" i="27" s="1"/>
  <c r="D9" i="27"/>
  <c r="G9" i="27" s="1"/>
  <c r="D12" i="27"/>
  <c r="AD75" i="32"/>
  <c r="E8" i="34"/>
  <c r="E13" i="34"/>
  <c r="E7" i="34"/>
  <c r="E14" i="34"/>
  <c r="E16" i="34"/>
  <c r="E15" i="34"/>
  <c r="E17" i="34"/>
  <c r="E24" i="34"/>
  <c r="E20" i="34"/>
  <c r="E22" i="34"/>
  <c r="E26" i="34"/>
  <c r="E12" i="34"/>
  <c r="F25" i="24"/>
  <c r="F35" i="24"/>
  <c r="C16" i="27"/>
  <c r="C29" i="27"/>
  <c r="C22" i="27"/>
  <c r="C21" i="27"/>
  <c r="C20" i="27"/>
  <c r="C19" i="27"/>
  <c r="C18" i="27"/>
  <c r="C17" i="27"/>
  <c r="C10" i="27"/>
  <c r="E10" i="27" s="1"/>
  <c r="C9" i="27"/>
  <c r="E9" i="27" s="1"/>
  <c r="C8" i="27"/>
  <c r="C12" i="27"/>
  <c r="E12" i="27" s="1"/>
  <c r="C11" i="27"/>
  <c r="E11" i="27" s="1"/>
  <c r="E35" i="24"/>
  <c r="E25" i="24"/>
  <c r="AG75" i="32"/>
  <c r="H16" i="34"/>
  <c r="H24" i="34"/>
  <c r="H17" i="34"/>
  <c r="H20" i="34"/>
  <c r="H22" i="34"/>
  <c r="H26" i="34"/>
  <c r="H12" i="34"/>
  <c r="H7" i="34"/>
  <c r="H14" i="34"/>
  <c r="H8" i="34"/>
  <c r="H13" i="34"/>
  <c r="H15" i="34"/>
  <c r="D12" i="23"/>
  <c r="D13" i="23"/>
  <c r="D15" i="23"/>
  <c r="D16" i="23"/>
  <c r="D11" i="23"/>
  <c r="D14" i="23"/>
  <c r="J19" i="27"/>
  <c r="J18" i="27"/>
  <c r="J29" i="27"/>
  <c r="J17" i="27"/>
  <c r="J16" i="27"/>
  <c r="J22" i="27"/>
  <c r="J21" i="27"/>
  <c r="J20" i="27"/>
  <c r="J8" i="27"/>
  <c r="M8" i="27" s="1"/>
  <c r="J9" i="27"/>
  <c r="J12" i="27"/>
  <c r="M12" i="27" s="1"/>
  <c r="J11" i="27"/>
  <c r="J10" i="27"/>
  <c r="M10" i="27" s="1"/>
  <c r="H25" i="24"/>
  <c r="H35" i="24"/>
  <c r="H20" i="1"/>
  <c r="H19" i="1"/>
  <c r="H18" i="1"/>
  <c r="H17" i="1"/>
  <c r="H16" i="1"/>
  <c r="H22" i="1"/>
  <c r="H21" i="1"/>
  <c r="H10" i="1"/>
  <c r="H8" i="1"/>
  <c r="H9" i="1"/>
  <c r="H12" i="1"/>
  <c r="H11" i="1"/>
  <c r="G12" i="27" l="1"/>
  <c r="I12" i="27"/>
  <c r="K9" i="27"/>
  <c r="M9" i="27"/>
  <c r="K8" i="27"/>
  <c r="E8" i="27"/>
  <c r="C28" i="34"/>
  <c r="K11" i="27"/>
  <c r="M11" i="27"/>
  <c r="K10" i="27"/>
  <c r="G35" i="21" l="1"/>
  <c r="C32" i="34"/>
  <c r="AB76" i="32"/>
  <c r="AB78" i="32" s="1"/>
  <c r="A502" i="3" l="1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01" i="3"/>
  <c r="A447" i="36" l="1"/>
  <c r="A422" i="36"/>
  <c r="A423" i="36"/>
  <c r="A424" i="36"/>
  <c r="A425" i="36"/>
  <c r="A426" i="36"/>
  <c r="A427" i="36"/>
  <c r="A428" i="36"/>
  <c r="A429" i="36"/>
  <c r="A430" i="36"/>
  <c r="A431" i="36"/>
  <c r="A432" i="36"/>
  <c r="A433" i="36"/>
  <c r="A434" i="36"/>
  <c r="A435" i="36"/>
  <c r="A436" i="36"/>
  <c r="A437" i="36"/>
  <c r="A438" i="36"/>
  <c r="A439" i="36"/>
  <c r="A440" i="36"/>
  <c r="A441" i="36"/>
  <c r="A442" i="36"/>
  <c r="A443" i="36"/>
  <c r="A444" i="36"/>
  <c r="A445" i="36"/>
  <c r="A446" i="36"/>
  <c r="A448" i="36"/>
  <c r="A449" i="36"/>
  <c r="A450" i="36"/>
  <c r="Z422" i="36"/>
  <c r="Z423" i="36"/>
  <c r="Z424" i="36"/>
  <c r="Z425" i="36"/>
  <c r="Z426" i="36"/>
  <c r="Z427" i="36"/>
  <c r="Z428" i="36"/>
  <c r="Z429" i="36"/>
  <c r="Z430" i="36"/>
  <c r="Z431" i="36"/>
  <c r="Z432" i="36"/>
  <c r="Z433" i="36"/>
  <c r="Z434" i="36"/>
  <c r="Z435" i="36"/>
  <c r="Z436" i="36"/>
  <c r="Z437" i="36"/>
  <c r="Z438" i="36"/>
  <c r="Z439" i="36"/>
  <c r="Z440" i="36"/>
  <c r="Z441" i="36"/>
  <c r="Z442" i="36"/>
  <c r="Z443" i="36"/>
  <c r="Z444" i="36"/>
  <c r="Z445" i="36"/>
  <c r="Z446" i="36"/>
  <c r="Z447" i="36"/>
  <c r="Z448" i="36"/>
  <c r="Z449" i="36"/>
  <c r="Z450" i="36"/>
  <c r="Z34" i="32" l="1"/>
  <c r="Z35" i="32"/>
  <c r="Z36" i="32"/>
  <c r="Z37" i="32"/>
  <c r="Z38" i="32"/>
  <c r="Z39" i="32"/>
  <c r="Z40" i="32"/>
  <c r="C50" i="24" l="1"/>
  <c r="D50" i="24"/>
  <c r="E50" i="24"/>
  <c r="F50" i="24"/>
  <c r="G50" i="24"/>
  <c r="H50" i="24"/>
  <c r="B36" i="24"/>
  <c r="B51" i="24" s="1"/>
  <c r="A421" i="36" l="1"/>
  <c r="Z402" i="36"/>
  <c r="Z403" i="36"/>
  <c r="Z404" i="36"/>
  <c r="Z405" i="36"/>
  <c r="Z406" i="36"/>
  <c r="Z407" i="36"/>
  <c r="Z408" i="36"/>
  <c r="Z409" i="36"/>
  <c r="Z410" i="36"/>
  <c r="Z411" i="36"/>
  <c r="Z412" i="36"/>
  <c r="Z413" i="36"/>
  <c r="Z414" i="36"/>
  <c r="Z415" i="36"/>
  <c r="Z416" i="36"/>
  <c r="Z417" i="36"/>
  <c r="Z418" i="36"/>
  <c r="Z419" i="36"/>
  <c r="Z420" i="36"/>
  <c r="Z421" i="36"/>
  <c r="Z401" i="36"/>
  <c r="A417" i="36"/>
  <c r="A418" i="36"/>
  <c r="A419" i="36"/>
  <c r="A420" i="36"/>
  <c r="A402" i="36"/>
  <c r="A403" i="36"/>
  <c r="A404" i="36"/>
  <c r="A405" i="36"/>
  <c r="A406" i="36"/>
  <c r="A407" i="36"/>
  <c r="A408" i="36"/>
  <c r="A409" i="36"/>
  <c r="A410" i="36"/>
  <c r="A411" i="36"/>
  <c r="A412" i="36"/>
  <c r="A413" i="36"/>
  <c r="A414" i="36"/>
  <c r="A415" i="36"/>
  <c r="A416" i="36"/>
  <c r="A401" i="36"/>
  <c r="B381" i="36"/>
  <c r="E383" i="36" s="1"/>
  <c r="L387" i="36" l="1"/>
  <c r="N386" i="36"/>
  <c r="P385" i="36"/>
  <c r="R384" i="36"/>
  <c r="J384" i="36"/>
  <c r="L383" i="36"/>
  <c r="N382" i="36"/>
  <c r="H385" i="36"/>
  <c r="M384" i="36"/>
  <c r="P386" i="36"/>
  <c r="I385" i="36"/>
  <c r="M383" i="36"/>
  <c r="K387" i="36"/>
  <c r="M386" i="36"/>
  <c r="O385" i="36"/>
  <c r="Q384" i="36"/>
  <c r="I384" i="36"/>
  <c r="K383" i="36"/>
  <c r="M382" i="36"/>
  <c r="H384" i="36"/>
  <c r="J387" i="36"/>
  <c r="L386" i="36"/>
  <c r="P384" i="36"/>
  <c r="J383" i="36"/>
  <c r="L382" i="36"/>
  <c r="O387" i="36"/>
  <c r="L384" i="36"/>
  <c r="O386" i="36"/>
  <c r="R387" i="36"/>
  <c r="N385" i="36"/>
  <c r="R383" i="36"/>
  <c r="H383" i="36"/>
  <c r="I386" i="36"/>
  <c r="O383" i="36"/>
  <c r="J385" i="36"/>
  <c r="P382" i="36"/>
  <c r="M387" i="36"/>
  <c r="Q387" i="36"/>
  <c r="I387" i="36"/>
  <c r="K386" i="36"/>
  <c r="M385" i="36"/>
  <c r="O384" i="36"/>
  <c r="Q383" i="36"/>
  <c r="I383" i="36"/>
  <c r="K382" i="36"/>
  <c r="H382" i="36"/>
  <c r="R386" i="36"/>
  <c r="J386" i="36"/>
  <c r="L385" i="36"/>
  <c r="N384" i="36"/>
  <c r="R382" i="36"/>
  <c r="Q386" i="36"/>
  <c r="Q382" i="36"/>
  <c r="N387" i="36"/>
  <c r="N383" i="36"/>
  <c r="K384" i="36"/>
  <c r="P387" i="36"/>
  <c r="P383" i="36"/>
  <c r="J382" i="36"/>
  <c r="K385" i="36"/>
  <c r="I382" i="36"/>
  <c r="R385" i="36"/>
  <c r="Q385" i="36"/>
  <c r="H386" i="36"/>
  <c r="H387" i="36"/>
  <c r="O382" i="36"/>
  <c r="H391" i="36"/>
  <c r="I391" i="36" s="1"/>
  <c r="C9" i="35"/>
  <c r="E384" i="36"/>
  <c r="E387" i="36"/>
  <c r="H395" i="36" s="1"/>
  <c r="E386" i="36"/>
  <c r="H394" i="36" s="1"/>
  <c r="E385" i="36"/>
  <c r="H393" i="36" s="1"/>
  <c r="E382" i="36"/>
  <c r="H390" i="36" s="1"/>
  <c r="H392" i="36" l="1"/>
  <c r="I395" i="36"/>
  <c r="C13" i="35"/>
  <c r="C10" i="35"/>
  <c r="I392" i="36"/>
  <c r="C11" i="35"/>
  <c r="I393" i="36"/>
  <c r="D9" i="35"/>
  <c r="J391" i="36"/>
  <c r="C8" i="35"/>
  <c r="I390" i="36"/>
  <c r="C12" i="35"/>
  <c r="I394" i="36"/>
  <c r="Z32" i="32"/>
  <c r="Z33" i="32"/>
  <c r="Z31" i="32"/>
  <c r="Y27" i="32"/>
  <c r="Y22" i="32"/>
  <c r="Y23" i="32"/>
  <c r="Y24" i="32"/>
  <c r="Y25" i="32"/>
  <c r="Y26" i="32"/>
  <c r="Y16" i="32"/>
  <c r="Z21" i="32"/>
  <c r="Y21" i="32"/>
  <c r="Z20" i="32"/>
  <c r="Y20" i="32"/>
  <c r="Z19" i="32"/>
  <c r="Y19" i="32"/>
  <c r="Z18" i="32"/>
  <c r="Y18" i="32"/>
  <c r="Z17" i="32"/>
  <c r="Y17" i="32"/>
  <c r="Z16" i="32"/>
  <c r="D28" i="34"/>
  <c r="E28" i="34"/>
  <c r="F28" i="34"/>
  <c r="G28" i="34"/>
  <c r="H28" i="34"/>
  <c r="I28" i="34"/>
  <c r="J28" i="34"/>
  <c r="D12" i="35" l="1"/>
  <c r="J394" i="36"/>
  <c r="K391" i="36"/>
  <c r="E9" i="35"/>
  <c r="D10" i="35"/>
  <c r="J392" i="36"/>
  <c r="D11" i="35"/>
  <c r="J393" i="36"/>
  <c r="D8" i="35"/>
  <c r="J390" i="36"/>
  <c r="D13" i="35"/>
  <c r="J395" i="36"/>
  <c r="J32" i="34"/>
  <c r="AI76" i="32"/>
  <c r="N35" i="21"/>
  <c r="F32" i="34"/>
  <c r="AE76" i="32"/>
  <c r="J35" i="21"/>
  <c r="I32" i="34"/>
  <c r="AH76" i="32"/>
  <c r="AH78" i="32" s="1"/>
  <c r="M35" i="21"/>
  <c r="E32" i="34"/>
  <c r="AD76" i="32"/>
  <c r="I35" i="21"/>
  <c r="H32" i="34"/>
  <c r="L35" i="21"/>
  <c r="AG76" i="32"/>
  <c r="D32" i="34"/>
  <c r="H35" i="21"/>
  <c r="AC76" i="32"/>
  <c r="AC78" i="32" s="1"/>
  <c r="G32" i="34"/>
  <c r="AF76" i="32"/>
  <c r="AF78" i="32" s="1"/>
  <c r="K35" i="21"/>
  <c r="U32" i="32"/>
  <c r="Q32" i="32"/>
  <c r="Q31" i="32"/>
  <c r="X32" i="32"/>
  <c r="T32" i="32"/>
  <c r="W32" i="32"/>
  <c r="S32" i="32"/>
  <c r="V32" i="32"/>
  <c r="R32" i="32"/>
  <c r="S34" i="32"/>
  <c r="Q33" i="32"/>
  <c r="W33" i="32"/>
  <c r="S33" i="32"/>
  <c r="U31" i="32"/>
  <c r="Q34" i="32"/>
  <c r="U34" i="32"/>
  <c r="V33" i="32"/>
  <c r="R33" i="32"/>
  <c r="X31" i="32"/>
  <c r="T31" i="32"/>
  <c r="X34" i="32"/>
  <c r="T34" i="32"/>
  <c r="X33" i="32"/>
  <c r="T33" i="32"/>
  <c r="V31" i="32"/>
  <c r="R31" i="32"/>
  <c r="V34" i="32"/>
  <c r="R34" i="32"/>
  <c r="U33" i="32"/>
  <c r="W31" i="32"/>
  <c r="S31" i="32"/>
  <c r="W34" i="32"/>
  <c r="E13" i="35" l="1"/>
  <c r="K395" i="36"/>
  <c r="E11" i="35"/>
  <c r="K393" i="36"/>
  <c r="F9" i="35"/>
  <c r="L391" i="36"/>
  <c r="E10" i="35"/>
  <c r="K392" i="36"/>
  <c r="K394" i="36"/>
  <c r="E12" i="35"/>
  <c r="K390" i="36"/>
  <c r="E8" i="35"/>
  <c r="AD78" i="32"/>
  <c r="AG78" i="32"/>
  <c r="AI78" i="32"/>
  <c r="AE78" i="32"/>
  <c r="F18" i="34"/>
  <c r="J18" i="34"/>
  <c r="H18" i="34"/>
  <c r="E18" i="34"/>
  <c r="G18" i="34"/>
  <c r="D18" i="34"/>
  <c r="I18" i="34"/>
  <c r="C18" i="34"/>
  <c r="L392" i="36" l="1"/>
  <c r="F10" i="35"/>
  <c r="F11" i="35"/>
  <c r="L393" i="36"/>
  <c r="F8" i="35"/>
  <c r="L390" i="36"/>
  <c r="F13" i="35"/>
  <c r="L395" i="36"/>
  <c r="G9" i="35"/>
  <c r="M391" i="36"/>
  <c r="L394" i="36"/>
  <c r="F12" i="35"/>
  <c r="M393" i="36" l="1"/>
  <c r="G11" i="35"/>
  <c r="M395" i="36"/>
  <c r="G13" i="35"/>
  <c r="G12" i="35"/>
  <c r="M394" i="36"/>
  <c r="N391" i="36"/>
  <c r="H9" i="35"/>
  <c r="M390" i="36"/>
  <c r="G8" i="35"/>
  <c r="M392" i="36"/>
  <c r="G10" i="35"/>
  <c r="M31" i="20"/>
  <c r="M32" i="20"/>
  <c r="M17" i="20"/>
  <c r="V47" i="20"/>
  <c r="N392" i="36" l="1"/>
  <c r="H10" i="35"/>
  <c r="O391" i="36"/>
  <c r="J9" i="35" s="1"/>
  <c r="I9" i="35"/>
  <c r="N395" i="36"/>
  <c r="H13" i="35"/>
  <c r="N394" i="36"/>
  <c r="H12" i="35"/>
  <c r="N390" i="36"/>
  <c r="H8" i="35"/>
  <c r="N393" i="36"/>
  <c r="H11" i="35"/>
  <c r="D32" i="20"/>
  <c r="T12" i="22"/>
  <c r="S12" i="22"/>
  <c r="I8" i="35" l="1"/>
  <c r="O390" i="36"/>
  <c r="J8" i="35" s="1"/>
  <c r="I13" i="35"/>
  <c r="O395" i="36"/>
  <c r="J13" i="35" s="1"/>
  <c r="I12" i="35"/>
  <c r="O394" i="36"/>
  <c r="J12" i="35" s="1"/>
  <c r="I11" i="35"/>
  <c r="O393" i="36"/>
  <c r="J11" i="35" s="1"/>
  <c r="I10" i="35"/>
  <c r="O392" i="36"/>
  <c r="J10" i="35" s="1"/>
  <c r="D40" i="24"/>
  <c r="E40" i="24"/>
  <c r="F40" i="24"/>
  <c r="G40" i="24"/>
  <c r="H40" i="24"/>
  <c r="D41" i="24"/>
  <c r="E41" i="24"/>
  <c r="F41" i="24"/>
  <c r="G41" i="24"/>
  <c r="H41" i="24"/>
  <c r="D42" i="24"/>
  <c r="E42" i="24"/>
  <c r="F42" i="24"/>
  <c r="G42" i="24"/>
  <c r="H42" i="24"/>
  <c r="D43" i="24"/>
  <c r="E43" i="24"/>
  <c r="F43" i="24"/>
  <c r="G43" i="24"/>
  <c r="H43" i="24"/>
  <c r="D44" i="24"/>
  <c r="E44" i="24"/>
  <c r="F44" i="24"/>
  <c r="G44" i="24"/>
  <c r="H44" i="24"/>
  <c r="D45" i="24"/>
  <c r="E45" i="24"/>
  <c r="F45" i="24"/>
  <c r="G45" i="24"/>
  <c r="H45" i="24"/>
  <c r="D46" i="24"/>
  <c r="E46" i="24"/>
  <c r="F46" i="24"/>
  <c r="G46" i="24"/>
  <c r="H46" i="24"/>
  <c r="D47" i="24"/>
  <c r="E47" i="24"/>
  <c r="F47" i="24"/>
  <c r="G47" i="24"/>
  <c r="H47" i="24"/>
  <c r="E39" i="24"/>
  <c r="F39" i="24"/>
  <c r="G39" i="24"/>
  <c r="H39" i="24"/>
  <c r="D39" i="24"/>
  <c r="E38" i="24"/>
  <c r="F38" i="24"/>
  <c r="G38" i="24"/>
  <c r="H38" i="24"/>
  <c r="D38" i="24"/>
  <c r="E37" i="24"/>
  <c r="F37" i="24"/>
  <c r="G37" i="24"/>
  <c r="H37" i="24"/>
  <c r="D37" i="24"/>
  <c r="Z12" i="22" l="1"/>
  <c r="AA12" i="22"/>
  <c r="AB12" i="22"/>
  <c r="AC12" i="22"/>
  <c r="Y12" i="22"/>
  <c r="V12" i="22"/>
  <c r="W12" i="22"/>
  <c r="X12" i="22"/>
  <c r="U12" i="22"/>
  <c r="D33" i="23" l="1"/>
  <c r="F33" i="23"/>
  <c r="E33" i="23"/>
  <c r="C33" i="23"/>
  <c r="G33" i="23"/>
  <c r="N31" i="21"/>
  <c r="H33" i="23"/>
  <c r="AL4" i="31" l="1"/>
  <c r="AK4" i="31"/>
  <c r="D13" i="25" l="1"/>
  <c r="B31" i="27" l="1"/>
  <c r="AA25" i="1" l="1"/>
  <c r="Z25" i="1"/>
  <c r="Y25" i="1"/>
  <c r="X25" i="1"/>
  <c r="W25" i="1"/>
  <c r="V25" i="1"/>
  <c r="AA25" i="27"/>
  <c r="Z25" i="27"/>
  <c r="Y25" i="27"/>
  <c r="X25" i="27"/>
  <c r="W25" i="27"/>
  <c r="V25" i="27"/>
  <c r="E9" i="1" l="1"/>
  <c r="V49" i="20" l="1"/>
  <c r="W49" i="20"/>
  <c r="X49" i="20"/>
  <c r="Y49" i="20"/>
  <c r="Z49" i="20"/>
  <c r="AA49" i="20"/>
  <c r="AB49" i="20"/>
  <c r="AC49" i="20"/>
  <c r="AD49" i="20"/>
  <c r="U49" i="20"/>
  <c r="V48" i="20"/>
  <c r="W48" i="20"/>
  <c r="X48" i="20"/>
  <c r="Y48" i="20"/>
  <c r="Z48" i="20"/>
  <c r="AA48" i="20"/>
  <c r="AB48" i="20"/>
  <c r="AC48" i="20"/>
  <c r="AD48" i="20"/>
  <c r="U48" i="20"/>
  <c r="X47" i="20"/>
  <c r="Y47" i="20"/>
  <c r="Z47" i="20"/>
  <c r="AA47" i="20"/>
  <c r="AB47" i="20"/>
  <c r="AC47" i="20"/>
  <c r="AD47" i="20"/>
  <c r="W47" i="20"/>
  <c r="U47" i="20" l="1"/>
  <c r="C31" i="20"/>
  <c r="M31" i="21"/>
  <c r="F17" i="20" l="1"/>
  <c r="L17" i="20" l="1"/>
  <c r="L31" i="20"/>
  <c r="L32" i="20"/>
  <c r="E8" i="22" l="1"/>
  <c r="U14" i="22" s="1"/>
  <c r="H31" i="21" l="1"/>
  <c r="K31" i="21"/>
  <c r="J31" i="21"/>
  <c r="F31" i="21"/>
  <c r="L31" i="21"/>
  <c r="D31" i="21"/>
  <c r="G31" i="21"/>
  <c r="I31" i="21"/>
  <c r="E31" i="21"/>
  <c r="D8" i="22"/>
  <c r="T14" i="22" s="1"/>
  <c r="D37" i="21" l="1"/>
  <c r="D39" i="21" l="1"/>
  <c r="D43" i="21"/>
  <c r="D44" i="21" s="1"/>
  <c r="V28" i="27"/>
  <c r="D42" i="21" l="1"/>
  <c r="D40" i="21"/>
  <c r="I22" i="1"/>
  <c r="I21" i="1"/>
  <c r="I20" i="1"/>
  <c r="I18" i="1"/>
  <c r="G17" i="1"/>
  <c r="M11" i="1"/>
  <c r="M10" i="1"/>
  <c r="M9" i="1"/>
  <c r="M8" i="1"/>
  <c r="K11" i="1"/>
  <c r="K10" i="1"/>
  <c r="K9" i="1"/>
  <c r="K8" i="1"/>
  <c r="I11" i="1"/>
  <c r="I10" i="1"/>
  <c r="I9" i="1"/>
  <c r="G9" i="1"/>
  <c r="I8" i="1"/>
  <c r="I19" i="1" l="1"/>
  <c r="E8" i="1"/>
  <c r="G18" i="1"/>
  <c r="G22" i="1"/>
  <c r="G12" i="1"/>
  <c r="M12" i="1"/>
  <c r="G19" i="1"/>
  <c r="K12" i="1"/>
  <c r="E17" i="1"/>
  <c r="E21" i="1"/>
  <c r="K16" i="1"/>
  <c r="K20" i="1"/>
  <c r="M17" i="1"/>
  <c r="M21" i="1"/>
  <c r="E16" i="1"/>
  <c r="D26" i="24" s="1"/>
  <c r="E20" i="1"/>
  <c r="K19" i="1"/>
  <c r="M16" i="1"/>
  <c r="M20" i="1"/>
  <c r="E18" i="1"/>
  <c r="E22" i="1"/>
  <c r="I16" i="1"/>
  <c r="K17" i="1"/>
  <c r="K21" i="1"/>
  <c r="M18" i="1"/>
  <c r="M22" i="1"/>
  <c r="G10" i="1"/>
  <c r="E10" i="1"/>
  <c r="G11" i="1"/>
  <c r="E11" i="1"/>
  <c r="G8" i="1"/>
  <c r="E12" i="1"/>
  <c r="E19" i="1"/>
  <c r="G16" i="1"/>
  <c r="G20" i="1"/>
  <c r="K18" i="1"/>
  <c r="K22" i="1"/>
  <c r="M19" i="1"/>
  <c r="I12" i="1"/>
  <c r="G21" i="1"/>
  <c r="I17" i="1"/>
  <c r="G18" i="27"/>
  <c r="G20" i="27"/>
  <c r="G22" i="27"/>
  <c r="E19" i="27"/>
  <c r="M16" i="27" l="1"/>
  <c r="E21" i="27"/>
  <c r="I16" i="27"/>
  <c r="E17" i="27"/>
  <c r="I20" i="27"/>
  <c r="K18" i="27"/>
  <c r="K22" i="27"/>
  <c r="M20" i="27"/>
  <c r="C30" i="24" s="1"/>
  <c r="K16" i="27"/>
  <c r="E18" i="27"/>
  <c r="G19" i="27"/>
  <c r="I17" i="27"/>
  <c r="I21" i="27"/>
  <c r="K19" i="27"/>
  <c r="M17" i="27"/>
  <c r="C27" i="24" s="1"/>
  <c r="M21" i="27"/>
  <c r="E22" i="27"/>
  <c r="G21" i="27"/>
  <c r="K17" i="27"/>
  <c r="K21" i="27"/>
  <c r="M19" i="27"/>
  <c r="C29" i="24" s="1"/>
  <c r="G16" i="27"/>
  <c r="I18" i="27"/>
  <c r="I22" i="27"/>
  <c r="K20" i="27"/>
  <c r="M18" i="27"/>
  <c r="C28" i="24" s="1"/>
  <c r="M22" i="27"/>
  <c r="E20" i="27"/>
  <c r="E16" i="27"/>
  <c r="G17" i="27"/>
  <c r="I19" i="27"/>
  <c r="L23" i="27"/>
  <c r="C26" i="24"/>
  <c r="AA31" i="27" l="1"/>
  <c r="H10" i="25"/>
  <c r="D27" i="27" l="1"/>
  <c r="H23" i="27"/>
  <c r="F10" i="25" s="1"/>
  <c r="H13" i="25" s="1"/>
  <c r="D23" i="27"/>
  <c r="J13" i="27"/>
  <c r="G9" i="25" s="1"/>
  <c r="F13" i="27"/>
  <c r="E9" i="25" s="1"/>
  <c r="E12" i="25" s="1"/>
  <c r="L13" i="27"/>
  <c r="H13" i="27"/>
  <c r="F9" i="25" s="1"/>
  <c r="F12" i="25" s="1"/>
  <c r="D13" i="27"/>
  <c r="C13" i="27"/>
  <c r="N8" i="22"/>
  <c r="AC14" i="22" s="1"/>
  <c r="M8" i="22"/>
  <c r="AB14" i="22" s="1"/>
  <c r="J8" i="22"/>
  <c r="Y14" i="22" s="1"/>
  <c r="H8" i="22"/>
  <c r="X14" i="22" s="1"/>
  <c r="E9" i="22"/>
  <c r="D9" i="22"/>
  <c r="L8" i="22"/>
  <c r="AA14" i="22" s="1"/>
  <c r="K8" i="22"/>
  <c r="Z14" i="22" s="1"/>
  <c r="G8" i="22"/>
  <c r="F8" i="22"/>
  <c r="K32" i="20"/>
  <c r="J32" i="20"/>
  <c r="I32" i="20"/>
  <c r="H32" i="20"/>
  <c r="G32" i="20"/>
  <c r="F32" i="20"/>
  <c r="E32" i="20"/>
  <c r="C32" i="20"/>
  <c r="K31" i="20"/>
  <c r="J31" i="20"/>
  <c r="I31" i="20"/>
  <c r="H31" i="20"/>
  <c r="G31" i="20"/>
  <c r="F31" i="20"/>
  <c r="E31" i="20"/>
  <c r="D31" i="20"/>
  <c r="K17" i="20"/>
  <c r="J17" i="20"/>
  <c r="I17" i="20"/>
  <c r="H17" i="20"/>
  <c r="G17" i="20"/>
  <c r="E17" i="20"/>
  <c r="D17" i="20"/>
  <c r="C17" i="20"/>
  <c r="G13" i="27" l="1"/>
  <c r="K13" i="27"/>
  <c r="E13" i="27"/>
  <c r="I13" i="27"/>
  <c r="M13" i="27"/>
  <c r="AA30" i="27"/>
  <c r="W31" i="27"/>
  <c r="Y31" i="27"/>
  <c r="F9" i="22"/>
  <c r="V14" i="22"/>
  <c r="G9" i="22"/>
  <c r="W14" i="22"/>
  <c r="Y30" i="27"/>
  <c r="V30" i="27"/>
  <c r="X30" i="27"/>
  <c r="W30" i="27"/>
  <c r="Z30" i="27"/>
  <c r="L25" i="27"/>
  <c r="AA26" i="27" s="1"/>
  <c r="H9" i="25"/>
  <c r="H8" i="25" s="1"/>
  <c r="K9" i="22"/>
  <c r="H9" i="22"/>
  <c r="M9" i="22"/>
  <c r="N9" i="22"/>
  <c r="L9" i="22"/>
  <c r="J9" i="22"/>
  <c r="H25" i="27"/>
  <c r="Y26" i="27" s="1"/>
  <c r="D25" i="27"/>
  <c r="F23" i="27"/>
  <c r="E10" i="25" s="1"/>
  <c r="G13" i="25" s="1"/>
  <c r="J23" i="27"/>
  <c r="C23" i="27"/>
  <c r="E37" i="21" l="1"/>
  <c r="C25" i="27"/>
  <c r="C27" i="27" s="1"/>
  <c r="K23" i="27"/>
  <c r="G23" i="27"/>
  <c r="G10" i="25"/>
  <c r="I13" i="25" s="1"/>
  <c r="M23" i="27"/>
  <c r="I23" i="27"/>
  <c r="C32" i="27"/>
  <c r="C31" i="27"/>
  <c r="E23" i="27"/>
  <c r="X31" i="27"/>
  <c r="V31" i="27"/>
  <c r="Z31" i="27"/>
  <c r="W26" i="27"/>
  <c r="J25" i="27"/>
  <c r="Z26" i="27" s="1"/>
  <c r="F25" i="27"/>
  <c r="X26" i="27" s="1"/>
  <c r="D28" i="24"/>
  <c r="E39" i="21" l="1"/>
  <c r="E40" i="21" s="1"/>
  <c r="E43" i="21"/>
  <c r="E44" i="21" s="1"/>
  <c r="G12" i="25"/>
  <c r="W28" i="27"/>
  <c r="D31" i="27"/>
  <c r="D32" i="27"/>
  <c r="V26" i="27"/>
  <c r="F27" i="27"/>
  <c r="E28" i="24"/>
  <c r="F28" i="24"/>
  <c r="F27" i="24"/>
  <c r="D29" i="24"/>
  <c r="H29" i="24"/>
  <c r="F30" i="24"/>
  <c r="G30" i="24"/>
  <c r="F23" i="1"/>
  <c r="E26" i="24"/>
  <c r="G28" i="24"/>
  <c r="D27" i="24"/>
  <c r="F29" i="24"/>
  <c r="D30" i="24"/>
  <c r="H30" i="24"/>
  <c r="C23" i="1"/>
  <c r="J23" i="1"/>
  <c r="G26" i="24"/>
  <c r="E27" i="24"/>
  <c r="H28" i="24"/>
  <c r="G29" i="24"/>
  <c r="E30" i="24"/>
  <c r="D23" i="1"/>
  <c r="E29" i="24"/>
  <c r="L23" i="1"/>
  <c r="H26" i="24"/>
  <c r="G27" i="24"/>
  <c r="H23" i="1"/>
  <c r="F26" i="24"/>
  <c r="H27" i="24"/>
  <c r="F37" i="21" l="1"/>
  <c r="E42" i="21"/>
  <c r="J13" i="25"/>
  <c r="H12" i="25"/>
  <c r="X28" i="27"/>
  <c r="F31" i="27"/>
  <c r="F32" i="27"/>
  <c r="K23" i="1"/>
  <c r="V31" i="1"/>
  <c r="E23" i="1"/>
  <c r="G23" i="1"/>
  <c r="M23" i="1"/>
  <c r="I23" i="1"/>
  <c r="W31" i="1"/>
  <c r="I10" i="25"/>
  <c r="AA31" i="1"/>
  <c r="M10" i="25"/>
  <c r="X31" i="1"/>
  <c r="J10" i="25"/>
  <c r="Y31" i="1"/>
  <c r="K10" i="25"/>
  <c r="Z31" i="1"/>
  <c r="L10" i="25"/>
  <c r="H27" i="27"/>
  <c r="C13" i="1"/>
  <c r="F43" i="21" l="1"/>
  <c r="F44" i="21" s="1"/>
  <c r="F39" i="21"/>
  <c r="F40" i="21" s="1"/>
  <c r="Y28" i="27"/>
  <c r="H31" i="27"/>
  <c r="H32" i="27"/>
  <c r="V30" i="1"/>
  <c r="C25" i="1"/>
  <c r="V26" i="1" s="1"/>
  <c r="J27" i="27"/>
  <c r="J13" i="1"/>
  <c r="D13" i="1"/>
  <c r="E13" i="1" s="1"/>
  <c r="L13" i="1"/>
  <c r="F13" i="1"/>
  <c r="H13" i="1"/>
  <c r="F42" i="21" l="1"/>
  <c r="G36" i="21"/>
  <c r="G37" i="21" s="1"/>
  <c r="J31" i="27"/>
  <c r="J32" i="27"/>
  <c r="AA30" i="1"/>
  <c r="Z30" i="1"/>
  <c r="W30" i="1"/>
  <c r="G13" i="1"/>
  <c r="Y30" i="1"/>
  <c r="K13" i="1"/>
  <c r="X30" i="1"/>
  <c r="I13" i="1"/>
  <c r="J9" i="25"/>
  <c r="L9" i="25"/>
  <c r="Z28" i="27"/>
  <c r="K9" i="25"/>
  <c r="M9" i="25"/>
  <c r="I9" i="25"/>
  <c r="L27" i="27"/>
  <c r="F25" i="1"/>
  <c r="X26" i="1" s="1"/>
  <c r="D25" i="1"/>
  <c r="W26" i="1" s="1"/>
  <c r="H25" i="1"/>
  <c r="Y26" i="1" s="1"/>
  <c r="L25" i="1"/>
  <c r="AA26" i="1" s="1"/>
  <c r="M13" i="1"/>
  <c r="J25" i="1"/>
  <c r="Z26" i="1" s="1"/>
  <c r="G39" i="21" l="1"/>
  <c r="G40" i="21" s="1"/>
  <c r="G43" i="21"/>
  <c r="G44" i="21" s="1"/>
  <c r="L29" i="27"/>
  <c r="C27" i="1"/>
  <c r="H36" i="21" l="1"/>
  <c r="H37" i="21" s="1"/>
  <c r="G42" i="21"/>
  <c r="AA28" i="27"/>
  <c r="L31" i="27"/>
  <c r="L32" i="27"/>
  <c r="C29" i="1"/>
  <c r="H43" i="21" l="1"/>
  <c r="H44" i="21" s="1"/>
  <c r="H39" i="21"/>
  <c r="H40" i="21" s="1"/>
  <c r="C31" i="1"/>
  <c r="C32" i="1"/>
  <c r="V28" i="1"/>
  <c r="D27" i="1"/>
  <c r="D29" i="1" s="1"/>
  <c r="F27" i="1" s="1"/>
  <c r="F29" i="1" s="1"/>
  <c r="H27" i="1" s="1"/>
  <c r="C10" i="23"/>
  <c r="I36" i="21" l="1"/>
  <c r="I37" i="21" s="1"/>
  <c r="H42" i="21"/>
  <c r="D32" i="1"/>
  <c r="D31" i="1"/>
  <c r="D10" i="23"/>
  <c r="W28" i="1"/>
  <c r="X28" i="1"/>
  <c r="F32" i="1"/>
  <c r="F31" i="1"/>
  <c r="E10" i="23"/>
  <c r="H29" i="1"/>
  <c r="J27" i="1" s="1"/>
  <c r="I43" i="21" l="1"/>
  <c r="I44" i="21" s="1"/>
  <c r="I39" i="21"/>
  <c r="I40" i="21" s="1"/>
  <c r="C40" i="23"/>
  <c r="C41" i="23" s="1"/>
  <c r="Y28" i="1"/>
  <c r="H32" i="1"/>
  <c r="H31" i="1"/>
  <c r="F10" i="23"/>
  <c r="J29" i="1"/>
  <c r="L27" i="1" s="1"/>
  <c r="L29" i="1" s="1"/>
  <c r="I42" i="21" l="1"/>
  <c r="C38" i="23"/>
  <c r="C37" i="23"/>
  <c r="C39" i="23" s="1"/>
  <c r="J36" i="21"/>
  <c r="J37" i="21" s="1"/>
  <c r="Z28" i="1"/>
  <c r="J32" i="1"/>
  <c r="J31" i="1"/>
  <c r="AA28" i="1"/>
  <c r="L32" i="1"/>
  <c r="L31" i="1"/>
  <c r="H10" i="23"/>
  <c r="G10" i="23"/>
  <c r="D40" i="23" l="1"/>
  <c r="D41" i="23" s="1"/>
  <c r="J43" i="21"/>
  <c r="J44" i="21" s="1"/>
  <c r="J39" i="21"/>
  <c r="J40" i="21" s="1"/>
  <c r="J42" i="21" l="1"/>
  <c r="D38" i="23"/>
  <c r="K36" i="21"/>
  <c r="K37" i="21" s="1"/>
  <c r="D37" i="23"/>
  <c r="D39" i="23" s="1"/>
  <c r="E40" i="23" l="1"/>
  <c r="E41" i="23" s="1"/>
  <c r="K43" i="21"/>
  <c r="K44" i="21" s="1"/>
  <c r="K39" i="21"/>
  <c r="K40" i="21" s="1"/>
  <c r="K42" i="21" l="1"/>
  <c r="E38" i="23"/>
  <c r="E37" i="23"/>
  <c r="E39" i="23" s="1"/>
  <c r="L36" i="21"/>
  <c r="L37" i="21" s="1"/>
  <c r="F40" i="23" l="1"/>
  <c r="F41" i="23" s="1"/>
  <c r="L43" i="21"/>
  <c r="L44" i="21" s="1"/>
  <c r="L39" i="21"/>
  <c r="L40" i="21" s="1"/>
  <c r="L42" i="21" l="1"/>
  <c r="F38" i="23"/>
  <c r="M36" i="21"/>
  <c r="M37" i="21" s="1"/>
  <c r="F37" i="23"/>
  <c r="F39" i="23" s="1"/>
  <c r="I8" i="25"/>
  <c r="G40" i="23" l="1"/>
  <c r="G41" i="23" s="1"/>
  <c r="M43" i="21"/>
  <c r="M44" i="21" s="1"/>
  <c r="M39" i="21"/>
  <c r="M40" i="21" s="1"/>
  <c r="K13" i="25"/>
  <c r="I12" i="25"/>
  <c r="J8" i="25"/>
  <c r="M42" i="21" l="1"/>
  <c r="G38" i="23"/>
  <c r="G37" i="23"/>
  <c r="G39" i="23" s="1"/>
  <c r="N36" i="21"/>
  <c r="N37" i="21" s="1"/>
  <c r="L13" i="25"/>
  <c r="J12" i="25"/>
  <c r="K8" i="25"/>
  <c r="N43" i="21" l="1"/>
  <c r="N44" i="21" s="1"/>
  <c r="N39" i="21"/>
  <c r="N40" i="21" s="1"/>
  <c r="H40" i="23"/>
  <c r="H41" i="23" s="1"/>
  <c r="M13" i="25"/>
  <c r="K12" i="25"/>
  <c r="L8" i="25"/>
  <c r="M8" i="25" s="1"/>
  <c r="N42" i="21" l="1"/>
  <c r="H38" i="23"/>
  <c r="H37" i="23"/>
  <c r="H39" i="23" s="1"/>
  <c r="M12" i="25"/>
  <c r="L12" i="25"/>
</calcChain>
</file>

<file path=xl/sharedStrings.xml><?xml version="1.0" encoding="utf-8"?>
<sst xmlns="http://schemas.openxmlformats.org/spreadsheetml/2006/main" count="7846" uniqueCount="2239">
  <si>
    <t>REVENUE</t>
  </si>
  <si>
    <t>Local</t>
  </si>
  <si>
    <t>Intermediate</t>
  </si>
  <si>
    <t>State</t>
  </si>
  <si>
    <t>Federal</t>
  </si>
  <si>
    <t>Other Fin. &amp; Income Items</t>
  </si>
  <si>
    <t>TOTAL REVENUE</t>
  </si>
  <si>
    <t>EXPENDITURES</t>
  </si>
  <si>
    <t>Salaries</t>
  </si>
  <si>
    <t>Employee Benefits</t>
  </si>
  <si>
    <t>Purchased Services</t>
  </si>
  <si>
    <t>Supplies</t>
  </si>
  <si>
    <t>Property</t>
  </si>
  <si>
    <t>Miscellaneous Objects</t>
  </si>
  <si>
    <t>Other Items</t>
  </si>
  <si>
    <t>TOTAL EXPENDITURES</t>
  </si>
  <si>
    <t>General Fund - Projection Summary</t>
  </si>
  <si>
    <t>REVENUE / EXPENDITURE PROJECTIONS</t>
  </si>
  <si>
    <t>BUDGET</t>
  </si>
  <si>
    <t>Scenario Name:</t>
  </si>
  <si>
    <t>Created on:</t>
  </si>
  <si>
    <t>Author:</t>
  </si>
  <si>
    <t>Expense/Revenue</t>
  </si>
  <si>
    <t>Type</t>
  </si>
  <si>
    <t>Description of Changes</t>
  </si>
  <si>
    <t>Period</t>
  </si>
  <si>
    <t>Old Value</t>
  </si>
  <si>
    <t>New Value</t>
  </si>
  <si>
    <t>Assumptions</t>
  </si>
  <si>
    <t>ACTUAL REVENUE / EXPENDITURES</t>
  </si>
  <si>
    <t>SURPLUS / DEFICIT</t>
  </si>
  <si>
    <t>FUND BALANCE AS # OF MONTHS OF EXPEND.</t>
  </si>
  <si>
    <t>District Name</t>
  </si>
  <si>
    <t>Property Tax Rates</t>
  </si>
  <si>
    <t>Fund Name</t>
  </si>
  <si>
    <t>General</t>
  </si>
  <si>
    <t>Management</t>
  </si>
  <si>
    <t>Regular PPEL</t>
  </si>
  <si>
    <t>Voted PPEL</t>
  </si>
  <si>
    <t>PERL</t>
  </si>
  <si>
    <t>Library</t>
  </si>
  <si>
    <t>Debt Service</t>
  </si>
  <si>
    <t>Total Rate</t>
  </si>
  <si>
    <t>Surtax Rate/Dollar Summary</t>
  </si>
  <si>
    <t>General Fund - Instructional Levy Surtax Rate</t>
  </si>
  <si>
    <t>General Fund - Instructional Levy Surtax Amount</t>
  </si>
  <si>
    <t>General Fund - Ed. Improvement Surtax Rate</t>
  </si>
  <si>
    <t>General Fund - Ed. Improvement Surtax Amount</t>
  </si>
  <si>
    <t>PPEL Fund - Voted PPEL Surtax Rate</t>
  </si>
  <si>
    <t>PPEL Fund - Voted PPEL Surtax Amount</t>
  </si>
  <si>
    <t>Total Surtax Rate</t>
  </si>
  <si>
    <t>Total Surtax Amount</t>
  </si>
  <si>
    <t>Unspent Authorized Budget Report</t>
  </si>
  <si>
    <t>Actual</t>
  </si>
  <si>
    <t>Estimated</t>
  </si>
  <si>
    <t>FY14</t>
  </si>
  <si>
    <t>FY15</t>
  </si>
  <si>
    <t>FY16</t>
  </si>
  <si>
    <t>FY17</t>
  </si>
  <si>
    <t>FY18</t>
  </si>
  <si>
    <t>FY19</t>
  </si>
  <si>
    <t>FY20</t>
  </si>
  <si>
    <t>Regular Program District Cost</t>
  </si>
  <si>
    <t>Regular Program Budget Adjustment</t>
  </si>
  <si>
    <t>+</t>
  </si>
  <si>
    <t>Supplementary Weighting District Cost</t>
  </si>
  <si>
    <t>Special Ed District Cost</t>
  </si>
  <si>
    <t>Teacher Salary Supplement District Cost</t>
  </si>
  <si>
    <t>Prof Dev Supplement District Cost</t>
  </si>
  <si>
    <t>Early Intervention Suppl District Cost</t>
  </si>
  <si>
    <t>AEA Special Ed Support</t>
  </si>
  <si>
    <t>AEA Special Ed Support Adjustment</t>
  </si>
  <si>
    <t>AEA Media Services</t>
  </si>
  <si>
    <t>AEA Educational Services</t>
  </si>
  <si>
    <t>AEA Sharing District Cost</t>
  </si>
  <si>
    <t>AEA Teacher Salary Suppl District Cost</t>
  </si>
  <si>
    <t>AEA Prof Dev Suppl District Cost</t>
  </si>
  <si>
    <t>Dropout Prevention Allowable Growth</t>
  </si>
  <si>
    <t>SBRC Allowable Growth Other #2</t>
  </si>
  <si>
    <t>Special Ed Deficit Allowable Growth</t>
  </si>
  <si>
    <t>Special Ed Positive Balance Reduction</t>
  </si>
  <si>
    <t>-</t>
  </si>
  <si>
    <t>AEA Special Ed Positive Balance</t>
  </si>
  <si>
    <t>Allowance for Construction Projects</t>
  </si>
  <si>
    <t>Unspent Allowance for Construction</t>
  </si>
  <si>
    <t>Enrollment Audit Adjustment</t>
  </si>
  <si>
    <t>AEA Prorata Reduction</t>
  </si>
  <si>
    <t>Maximum District Cost</t>
  </si>
  <si>
    <t>=</t>
  </si>
  <si>
    <t>Preschool Foundation Aid</t>
  </si>
  <si>
    <t>Instructional Support Authority</t>
  </si>
  <si>
    <t>Other Miscellaneous Income</t>
  </si>
  <si>
    <t>Unspent Auth Budget - Previous Year</t>
  </si>
  <si>
    <t>Maximum Authorized Budget</t>
  </si>
  <si>
    <t>Expenditures</t>
  </si>
  <si>
    <t>Unspent Authorized Budget</t>
  </si>
  <si>
    <t>Certified Enrollment</t>
  </si>
  <si>
    <t>ACTUAL CERTIFIED ENROLLMENT</t>
  </si>
  <si>
    <t>PROJECTED CERTIFIED  ENROLLMENT</t>
  </si>
  <si>
    <t>CERTIFIED ENROLLMENT:</t>
  </si>
  <si>
    <t>ANNUAL CHANGE:</t>
  </si>
  <si>
    <t>PERCENT CHANGE:</t>
  </si>
  <si>
    <t>BUDGET-ASSUMPTIONS (FISCAL YEAR)</t>
  </si>
  <si>
    <t>CERTIFIED ENROLLMENT</t>
  </si>
  <si>
    <t>CERTIFIED ENROLLMENT CHANGE</t>
  </si>
  <si>
    <t>SERVED ENROLLMENT CHANGE</t>
  </si>
  <si>
    <t>SUPPLEMENTAL STATE AID %</t>
  </si>
  <si>
    <t>DROPOUT PREVENTION $</t>
  </si>
  <si>
    <t>ISL LEVEL</t>
  </si>
  <si>
    <t>ISL SURTAX</t>
  </si>
  <si>
    <t>CASH RESERVE LEVY - SBRC</t>
  </si>
  <si>
    <t>CASH RESERVE LEVY - OTHER</t>
  </si>
  <si>
    <t>TAXABLE VALUATION % CHANGE</t>
  </si>
  <si>
    <t>SBRC MODIFIED SUPPL AMT OTHER #1</t>
  </si>
  <si>
    <t>SBRC MODIFIED SUPPL AMT OTHER #2</t>
  </si>
  <si>
    <t>SPECIAL ED MODIFIED SUPPL AMT</t>
  </si>
  <si>
    <t>SPECIAL ED POSITIVE BALANCE REDUCTION</t>
  </si>
  <si>
    <t>TUITION IN % CHANGE</t>
  </si>
  <si>
    <t>EXP. SALARIES % CHANGE</t>
  </si>
  <si>
    <t>EXP. BENEFITS % CHANGE</t>
  </si>
  <si>
    <t>EXP. PUR. SERVICES % CHANGE</t>
  </si>
  <si>
    <t>EXP. SUPPLIES % CHANGE</t>
  </si>
  <si>
    <t>EXP. PROPERTY % CHANGE</t>
  </si>
  <si>
    <t>Staffing Changes</t>
  </si>
  <si>
    <t>Fiscal Year</t>
  </si>
  <si>
    <t>REGULAR PPEL FUND RATE</t>
  </si>
  <si>
    <t>VOTED PPEL FUND RATE</t>
  </si>
  <si>
    <t>VOTED PPEL FUND SURTAX RATE</t>
  </si>
  <si>
    <t>MANAGEMENT FUND DOLLARS</t>
  </si>
  <si>
    <t>BUDGET  (FISCAL YEAR)</t>
  </si>
  <si>
    <t>TAX RATES</t>
  </si>
  <si>
    <t>TAX RATE - GENERAL FUND</t>
  </si>
  <si>
    <t>TAX RATE - MANAGEMENT FUND</t>
  </si>
  <si>
    <t>TAX RATE - PPEL FUND</t>
  </si>
  <si>
    <t>TAX RATE - PERL FUND</t>
  </si>
  <si>
    <t>TAX RATE - LIBRARY FUND</t>
  </si>
  <si>
    <t>TAX RATE - DEBT SERVICE FUND</t>
  </si>
  <si>
    <t>TAX RATE - TOTAL</t>
  </si>
  <si>
    <t>SURTAX RATES</t>
  </si>
  <si>
    <t>SURTAX RATE - GENERAL FUND</t>
  </si>
  <si>
    <t>SURTAX RATE - PPEL FUND</t>
  </si>
  <si>
    <t>SURTAX RATE - TOTAL</t>
  </si>
  <si>
    <t>UNSPENT AUTHORIZED BUDGET</t>
  </si>
  <si>
    <t>UNSPENT AUTHORIZED BUDGET CHANGE</t>
  </si>
  <si>
    <t>UNSPENT AUTHORIZED BUDGET RATIO</t>
  </si>
  <si>
    <t>% ANNUAL AUTHORITY SPENT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</si>
  <si>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</si>
  <si>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</si>
  <si>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</si>
  <si>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</si>
  <si>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</si>
  <si>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</si>
  <si>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</si>
  <si>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</si>
  <si>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</si>
  <si>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</si>
  <si>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</si>
  <si>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Assigned Dollars</t>
  </si>
  <si>
    <t>Uassigned Dollars</t>
  </si>
  <si>
    <t>Total Revenue</t>
  </si>
  <si>
    <t>AEA Flowthrough</t>
  </si>
  <si>
    <t>Solvency Ratio</t>
  </si>
  <si>
    <t>General Fund - Historical Summary</t>
  </si>
  <si>
    <t>Revenues</t>
  </si>
  <si>
    <t>SBRC Modified Suppl Amt Other #1</t>
  </si>
  <si>
    <t>Teacher Leadership Suppl District Cost</t>
  </si>
  <si>
    <t>TAX RATE - VOTED PPEL</t>
  </si>
  <si>
    <t>Calculator Name</t>
  </si>
  <si>
    <t>Calc Query</t>
  </si>
  <si>
    <t>Report Query</t>
  </si>
  <si>
    <t>FY21</t>
  </si>
  <si>
    <t>in_fte_change</t>
  </si>
  <si>
    <t>in_retirement_savings</t>
  </si>
  <si>
    <t>Certified Enrollment Change</t>
  </si>
  <si>
    <t>Surplus/Deficit</t>
  </si>
  <si>
    <t>Total Expenditures</t>
  </si>
  <si>
    <t>Maximum Cash Reserve Levy</t>
  </si>
  <si>
    <t>BEGINNING FUND BALANCE</t>
  </si>
  <si>
    <t>YEAR-END FUND BALANCE</t>
  </si>
  <si>
    <t>Fund Balance</t>
  </si>
  <si>
    <t>PROJECTED YEAR END FUND BALANCE</t>
  </si>
  <si>
    <t>FUND BALANCE AS % OF EXPENDITURES</t>
  </si>
  <si>
    <t>FUND BALANCES</t>
  </si>
  <si>
    <t>FUND BALANCE - GENERAL FUND</t>
  </si>
  <si>
    <t>FUND BALANCE - ACTIVITY FUND</t>
  </si>
  <si>
    <t>FUND BALANCE - MANAGEMENT FUND</t>
  </si>
  <si>
    <t>FUND BALANCE - PPEL FUND</t>
  </si>
  <si>
    <t>FUND BALANCE - CAPITAL PROJECTS FUND</t>
  </si>
  <si>
    <t>FUND BALANCE - DEBT SERVICE FUND</t>
  </si>
  <si>
    <t>FUND BALANCE - HOTLUNCH FUND</t>
  </si>
  <si>
    <t>Year</t>
  </si>
  <si>
    <t>2008-09</t>
  </si>
  <si>
    <t>2009-10</t>
  </si>
  <si>
    <t>District #</t>
  </si>
  <si>
    <t>District</t>
  </si>
  <si>
    <t>ADAIR-CASEY</t>
  </si>
  <si>
    <t>ADEL-DESOTO-MINBURN</t>
  </si>
  <si>
    <t>AGWSR</t>
  </si>
  <si>
    <t>A-H-S-T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</si>
  <si>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</si>
  <si>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</si>
  <si>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</si>
  <si>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</si>
  <si>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</si>
  <si>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</si>
  <si>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</si>
  <si>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</si>
  <si>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</si>
  <si>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</si>
  <si>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</si>
  <si>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</si>
  <si>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</si>
  <si>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</si>
  <si>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</si>
  <si>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</si>
  <si>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</si>
  <si>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 C L - U W</t>
  </si>
  <si>
    <t>BALLARD</t>
  </si>
  <si>
    <t>BATTLE CREEK-IDA GROVE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</si>
  <si>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</si>
  <si>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</si>
  <si>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</si>
  <si>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</si>
  <si>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</si>
  <si>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</si>
  <si>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</si>
  <si>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</si>
  <si>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</si>
  <si>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</si>
  <si>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</si>
  <si>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</si>
  <si>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</si>
  <si>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</si>
  <si>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</si>
  <si>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CALAMUS-WHEATLAND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</si>
  <si>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</si>
  <si>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</si>
  <si>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</si>
  <si>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</si>
  <si>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</si>
  <si>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</si>
  <si>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</si>
  <si>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</si>
  <si>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</si>
  <si>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</si>
  <si>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</si>
  <si>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CLINTON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</si>
  <si>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</si>
  <si>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</si>
  <si>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</si>
  <si>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</si>
  <si>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</si>
  <si>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</si>
  <si>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</si>
  <si>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</si>
  <si>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</si>
  <si>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</si>
  <si>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</si>
  <si>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</si>
  <si>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</si>
  <si>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</si>
  <si>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</si>
  <si>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</si>
  <si>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</si>
  <si>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</si>
  <si>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</si>
  <si>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</si>
  <si>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</si>
  <si>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</si>
  <si>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</si>
  <si>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</si>
  <si>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</si>
  <si>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</si>
  <si>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</si>
  <si>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</si>
  <si>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</si>
  <si>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</si>
  <si>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</si>
  <si>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</si>
  <si>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</si>
  <si>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</si>
  <si>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</si>
  <si>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</si>
  <si>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</si>
  <si>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</si>
  <si>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</si>
  <si>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</si>
  <si>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</si>
  <si>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</si>
  <si>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</si>
  <si>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</si>
  <si>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</si>
  <si>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</si>
  <si>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</si>
  <si>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</si>
  <si>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</si>
  <si>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</si>
  <si>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</si>
  <si>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</si>
  <si>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</si>
  <si>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</si>
  <si>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</si>
  <si>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</si>
  <si>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</si>
  <si>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</si>
  <si>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</si>
  <si>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</si>
  <si>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FARRAGUT</t>
  </si>
  <si>
    <t>FOREST CITY</t>
  </si>
  <si>
    <t>FORT DODGE</t>
  </si>
  <si>
    <t>FORT MADISON</t>
  </si>
  <si>
    <t>FREMONT-MILLS</t>
  </si>
  <si>
    <t>G M G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</si>
  <si>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</si>
  <si>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</si>
  <si>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</si>
  <si>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</si>
  <si>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</si>
  <si>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</si>
  <si>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</si>
  <si>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</si>
  <si>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</si>
  <si>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</si>
  <si>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</si>
  <si>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</si>
  <si>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</si>
  <si>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</si>
  <si>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 L 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</si>
  <si>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</si>
  <si>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</si>
  <si>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</si>
  <si>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</si>
  <si>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</si>
  <si>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</si>
  <si>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</si>
  <si>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</si>
  <si>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</si>
  <si>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</si>
  <si>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</si>
  <si>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</si>
  <si>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 K 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</si>
  <si>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</si>
  <si>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</si>
  <si>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</si>
  <si>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</si>
  <si>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</si>
  <si>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</si>
  <si>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</si>
  <si>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</si>
  <si>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</si>
  <si>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</si>
  <si>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</si>
  <si>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</si>
  <si>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</si>
  <si>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</si>
  <si>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</si>
  <si>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</si>
  <si>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</si>
  <si>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</si>
  <si>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</si>
  <si>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</si>
  <si>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</si>
  <si>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</si>
  <si>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</si>
  <si>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</si>
  <si>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</si>
  <si>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</si>
  <si>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</si>
  <si>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</si>
  <si>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</si>
  <si>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</si>
  <si>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</si>
  <si>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</si>
  <si>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</si>
  <si>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</si>
  <si>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</si>
  <si>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</si>
  <si>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</si>
  <si>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</si>
  <si>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</si>
  <si>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MFL-MARMAC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</si>
  <si>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</si>
  <si>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</si>
  <si>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</si>
  <si>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</si>
  <si>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</si>
  <si>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</si>
  <si>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</si>
  <si>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</si>
  <si>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</si>
  <si>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</si>
  <si>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</si>
  <si>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</si>
  <si>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</si>
  <si>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</si>
  <si>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</si>
  <si>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</si>
  <si>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</si>
  <si>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</si>
  <si>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</si>
  <si>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</si>
  <si>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</si>
  <si>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</si>
  <si>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</si>
  <si>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</si>
  <si>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</si>
  <si>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</si>
  <si>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</si>
  <si>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</si>
  <si>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</si>
  <si>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</si>
  <si>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</si>
  <si>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</si>
  <si>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</si>
  <si>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</si>
  <si>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</si>
  <si>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</si>
  <si>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</si>
  <si>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</si>
  <si>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</si>
  <si>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</si>
  <si>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</si>
  <si>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</si>
  <si>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</si>
  <si>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</si>
  <si>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</si>
  <si>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</si>
  <si>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</si>
  <si>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 C M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</si>
  <si>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</si>
  <si>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</si>
  <si>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</si>
  <si>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</si>
  <si>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</si>
  <si>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</si>
  <si>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</si>
  <si>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</si>
  <si>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</si>
  <si>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</si>
  <si>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</si>
  <si>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</si>
  <si>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</si>
  <si>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</si>
  <si>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</si>
  <si>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</si>
  <si>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</si>
  <si>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</si>
  <si>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</si>
  <si>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</si>
  <si>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</si>
  <si>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</si>
  <si>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</si>
  <si>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</si>
  <si>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</si>
  <si>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</si>
  <si>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</si>
  <si>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</si>
  <si>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</si>
  <si>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</si>
  <si>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</si>
  <si>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</si>
  <si>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</si>
  <si>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</si>
  <si>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</si>
  <si>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CLAY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</si>
  <si>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</si>
  <si>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</si>
  <si>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</si>
  <si>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</si>
  <si>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</si>
  <si>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</si>
  <si>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</si>
  <si>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</si>
  <si>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</si>
  <si>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</si>
  <si>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</si>
  <si>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</si>
  <si>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</si>
  <si>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</si>
  <si>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</si>
  <si>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</si>
  <si>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</si>
  <si>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</si>
  <si>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</si>
  <si>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</si>
  <si>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</si>
  <si>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</si>
  <si>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</si>
  <si>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</si>
  <si>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</si>
  <si>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</si>
  <si>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</si>
  <si>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</si>
  <si>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</si>
  <si>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</si>
  <si>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</si>
  <si>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</si>
  <si>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</si>
  <si>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</si>
  <si>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</si>
  <si>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</si>
  <si>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</si>
  <si>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</si>
  <si>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</si>
  <si>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</si>
  <si>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</si>
  <si>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</si>
  <si>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</si>
  <si>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</si>
  <si>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</si>
  <si>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</si>
  <si>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</si>
  <si>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</si>
  <si>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</si>
  <si>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</si>
  <si>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</si>
  <si>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</si>
  <si>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</si>
  <si>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</si>
  <si>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</si>
  <si>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</si>
  <si>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</si>
  <si>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</si>
  <si>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</si>
  <si>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</si>
  <si>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</si>
  <si>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</si>
  <si>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</si>
  <si>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</si>
  <si>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</si>
  <si>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</si>
  <si>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</si>
  <si>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</si>
  <si>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</si>
  <si>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School District Number</t>
  </si>
  <si>
    <t>Unassigned Dollars</t>
  </si>
  <si>
    <t>2015</t>
  </si>
  <si>
    <t>2016</t>
  </si>
  <si>
    <t>2017</t>
  </si>
  <si>
    <t>2018</t>
  </si>
  <si>
    <t>2019</t>
  </si>
  <si>
    <t>2020</t>
  </si>
  <si>
    <t>2021</t>
  </si>
  <si>
    <t>% ∆</t>
  </si>
  <si>
    <t>out_report_key_assumptions</t>
  </si>
  <si>
    <t>out_report_staffing_changes</t>
  </si>
  <si>
    <t>out_report_rates_1</t>
  </si>
  <si>
    <t>out_report_fund_balances</t>
  </si>
  <si>
    <t>out_report_tax_rates</t>
  </si>
  <si>
    <t>out_report_surtax_rates</t>
  </si>
  <si>
    <t>out_report_uab_changes</t>
  </si>
  <si>
    <t>out_report_solvency_ratios</t>
  </si>
  <si>
    <t>out_report_uab</t>
  </si>
  <si>
    <t>out_report_solvency_ratio_summary</t>
  </si>
  <si>
    <t>out_report_certified_enrollment</t>
  </si>
  <si>
    <t>out_report_served_enrollment</t>
  </si>
  <si>
    <t>FY22</t>
  </si>
  <si>
    <t>PRESCHOOL ENROLLMENT</t>
  </si>
  <si>
    <t>TIF TAXABLE VALUATION % CHANGE</t>
  </si>
  <si>
    <t>2021-22</t>
  </si>
  <si>
    <t>* FY2012-2015 Revenues, Expenditures and Unassigned Dollars data is taken from the CAR.</t>
  </si>
  <si>
    <t>out_report_tax_rate_dollars</t>
  </si>
  <si>
    <t>in_aid_levy1</t>
  </si>
  <si>
    <t>in_authorized_budget_areas1</t>
  </si>
  <si>
    <t>in_enroll_change</t>
  </si>
  <si>
    <t>in_enrollment_figures</t>
  </si>
  <si>
    <t>in_isl_educational_improvement</t>
  </si>
  <si>
    <t>in_other_aid</t>
  </si>
  <si>
    <t>in_rates</t>
  </si>
  <si>
    <t>in_solvency</t>
  </si>
  <si>
    <t>in_year_starting_tlc</t>
  </si>
  <si>
    <t>out_allowable_growth_dropout</t>
  </si>
  <si>
    <t>out_served_enrollment</t>
  </si>
  <si>
    <t>out_total_certified</t>
  </si>
  <si>
    <t>Teacher's Leaving/Replacing</t>
  </si>
  <si>
    <t>Teacher FTE Net Change</t>
  </si>
  <si>
    <t>Administration (11X) # Net Change</t>
  </si>
  <si>
    <t>Associates (10X) # Net Change</t>
  </si>
  <si>
    <t>Other Professional (13X) # Net Change</t>
  </si>
  <si>
    <t>Technical (14X) # Net Change</t>
  </si>
  <si>
    <t>Office-Clerical (15X) # Net Change</t>
  </si>
  <si>
    <t>Crafts and Trades (16X) # Net Change</t>
  </si>
  <si>
    <t>Transportation-Service (17X) # Net Change</t>
  </si>
  <si>
    <t>Labor (18X) # Net Change</t>
  </si>
  <si>
    <t>Operations (19X) # Net Change</t>
  </si>
  <si>
    <t>FY 2015</t>
  </si>
  <si>
    <t>FY 2014</t>
  </si>
  <si>
    <t>FY 2013</t>
  </si>
  <si>
    <t>FY 2012</t>
  </si>
  <si>
    <t>GF ISL Surtax Rate</t>
  </si>
  <si>
    <t>GF ISL Surtax Amt</t>
  </si>
  <si>
    <t>GF ED Imp Rate</t>
  </si>
  <si>
    <t>GF ED Imp Amt</t>
  </si>
  <si>
    <t>PPEL Surtax Rate</t>
  </si>
  <si>
    <t>PPEL Surtax Amt</t>
  </si>
  <si>
    <t xml:space="preserve">ALGONA </t>
  </si>
  <si>
    <t xml:space="preserve">NORTH BUTLER </t>
  </si>
  <si>
    <t xml:space="preserve">NORTH UNION </t>
  </si>
  <si>
    <t>AHSTW</t>
  </si>
  <si>
    <t>BCLUW</t>
  </si>
  <si>
    <t>CALAMUS/WHEATLAND</t>
  </si>
  <si>
    <t xml:space="preserve">CLARION-GOLDFIELD-DOWS </t>
  </si>
  <si>
    <t xml:space="preserve">CLEAR CREEK-AMANA </t>
  </si>
  <si>
    <t xml:space="preserve">ENGLISH VALLEYS </t>
  </si>
  <si>
    <t xml:space="preserve">NODAWAY VALLEY </t>
  </si>
  <si>
    <t>GMG</t>
  </si>
  <si>
    <t>HLV</t>
  </si>
  <si>
    <t>IKM-MANNING</t>
  </si>
  <si>
    <t xml:space="preserve">GREENE COUNTY </t>
  </si>
  <si>
    <t xml:space="preserve">EAST MILLS </t>
  </si>
  <si>
    <t xml:space="preserve">MAPLE VALLEY-ANTHON OTO </t>
  </si>
  <si>
    <t>MFL MAR MAC</t>
  </si>
  <si>
    <t xml:space="preserve">CENTRAL SPRINGS </t>
  </si>
  <si>
    <t xml:space="preserve">POCAHONTAS AREA </t>
  </si>
  <si>
    <t>PCM</t>
  </si>
  <si>
    <t xml:space="preserve">VAN BUREN </t>
  </si>
  <si>
    <t>#</t>
  </si>
  <si>
    <t>Name</t>
  </si>
  <si>
    <t>FY12 Certified</t>
  </si>
  <si>
    <t>FY13 Certified</t>
  </si>
  <si>
    <t>History</t>
  </si>
  <si>
    <t>Budget</t>
  </si>
  <si>
    <t>Projections</t>
  </si>
  <si>
    <t>Total General Fund Revenue</t>
  </si>
  <si>
    <t>Non-Miscellaneous Revenue</t>
  </si>
  <si>
    <t>Revenue from Local Sources</t>
  </si>
  <si>
    <t>Taxes levied/assessed by the LEA</t>
  </si>
  <si>
    <t>Tuition</t>
  </si>
  <si>
    <t>Transportation Fees</t>
  </si>
  <si>
    <t>Investment Income</t>
  </si>
  <si>
    <t>District Student Activities</t>
  </si>
  <si>
    <t>Other revenue from local sources</t>
  </si>
  <si>
    <t>Total Revenue from Local Sources</t>
  </si>
  <si>
    <t>Revenue From Intermediate Sources</t>
  </si>
  <si>
    <t>Revenue From State Sources</t>
  </si>
  <si>
    <t>Revenue From Federal Sources</t>
  </si>
  <si>
    <t>Other Financing Sources</t>
  </si>
  <si>
    <t>Miscellaneous Revenue</t>
  </si>
  <si>
    <t>TLC Added to Miscellaneous Revenue</t>
  </si>
  <si>
    <t>Miscellaneous % of Revenue</t>
  </si>
  <si>
    <t>Miscellaneous Revenue Change Per Year</t>
  </si>
  <si>
    <t>Miscellaneous Surplus/Deficit Per Year</t>
  </si>
  <si>
    <t>Alter Query</t>
  </si>
  <si>
    <t>3387/3116 TLC</t>
  </si>
  <si>
    <t xml:space="preserve">District Number </t>
  </si>
  <si>
    <t xml:space="preserve">District Name  </t>
  </si>
  <si>
    <t>1112</t>
  </si>
  <si>
    <t>1113</t>
  </si>
  <si>
    <t>1114</t>
  </si>
  <si>
    <t>1116</t>
  </si>
  <si>
    <t>1118</t>
  </si>
  <si>
    <t>1119</t>
  </si>
  <si>
    <t>1131</t>
  </si>
  <si>
    <t>1754</t>
  </si>
  <si>
    <t>1920-1929</t>
  </si>
  <si>
    <t>1996</t>
  </si>
  <si>
    <t>Unknown</t>
  </si>
  <si>
    <t>2211</t>
  </si>
  <si>
    <t>2250</t>
  </si>
  <si>
    <t>2260-2269</t>
  </si>
  <si>
    <t>3117</t>
  </si>
  <si>
    <t>3118</t>
  </si>
  <si>
    <t>3121</t>
  </si>
  <si>
    <t>3123</t>
  </si>
  <si>
    <t>3131</t>
  </si>
  <si>
    <t>3202</t>
  </si>
  <si>
    <t>3203</t>
  </si>
  <si>
    <t>3204</t>
  </si>
  <si>
    <t>3208</t>
  </si>
  <si>
    <t>3209</t>
  </si>
  <si>
    <t>3216</t>
  </si>
  <si>
    <t>3222</t>
  </si>
  <si>
    <t>3225</t>
  </si>
  <si>
    <t>3227</t>
  </si>
  <si>
    <t>3228</t>
  </si>
  <si>
    <t>3232</t>
  </si>
  <si>
    <t>3233</t>
  </si>
  <si>
    <t>3234</t>
  </si>
  <si>
    <t>3238</t>
  </si>
  <si>
    <t>3241</t>
  </si>
  <si>
    <t>3244</t>
  </si>
  <si>
    <t>3246</t>
  </si>
  <si>
    <t>3275</t>
  </si>
  <si>
    <t>3276</t>
  </si>
  <si>
    <t>3287</t>
  </si>
  <si>
    <t>3301</t>
  </si>
  <si>
    <t>3303</t>
  </si>
  <si>
    <t>3309</t>
  </si>
  <si>
    <t>3311</t>
  </si>
  <si>
    <t>3312</t>
  </si>
  <si>
    <t>3313</t>
  </si>
  <si>
    <t>3315</t>
  </si>
  <si>
    <t>3319</t>
  </si>
  <si>
    <t>3324</t>
  </si>
  <si>
    <t>3325</t>
  </si>
  <si>
    <t>3328</t>
  </si>
  <si>
    <t>3333</t>
  </si>
  <si>
    <t>3335</t>
  </si>
  <si>
    <t>3339</t>
  </si>
  <si>
    <t>3342</t>
  </si>
  <si>
    <t>3344</t>
  </si>
  <si>
    <t>3372</t>
  </si>
  <si>
    <t>3373</t>
  </si>
  <si>
    <t>3374</t>
  </si>
  <si>
    <t>3376</t>
  </si>
  <si>
    <t>3377</t>
  </si>
  <si>
    <t>3378</t>
  </si>
  <si>
    <t>3383</t>
  </si>
  <si>
    <t>3387</t>
  </si>
  <si>
    <t>3388</t>
  </si>
  <si>
    <t>3751</t>
  </si>
  <si>
    <t>3761</t>
  </si>
  <si>
    <t>3801</t>
  </si>
  <si>
    <t>3803</t>
  </si>
  <si>
    <t>6000-9999</t>
  </si>
  <si>
    <t>0009</t>
  </si>
  <si>
    <t>0018</t>
  </si>
  <si>
    <t>Adair-Casey</t>
  </si>
  <si>
    <t>0027</t>
  </si>
  <si>
    <t>Adel DeSoto Minburn</t>
  </si>
  <si>
    <t>0063</t>
  </si>
  <si>
    <t>Akron 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</si>
  <si>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</si>
  <si>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</si>
  <si>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</si>
  <si>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</si>
  <si>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</si>
  <si>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</si>
  <si>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</si>
  <si>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</si>
  <si>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</si>
  <si>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</si>
  <si>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</si>
  <si>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</si>
  <si>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</si>
  <si>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</si>
  <si>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</si>
  <si>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</si>
  <si>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</si>
  <si>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</si>
  <si>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</si>
  <si>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</si>
  <si>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</si>
  <si>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</si>
  <si>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</si>
  <si>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</si>
  <si>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</si>
  <si>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</si>
  <si>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</si>
  <si>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>North Union</t>
  </si>
  <si>
    <t>0355</t>
  </si>
  <si>
    <t>Ar-We-Va</t>
  </si>
  <si>
    <t>0387</t>
  </si>
  <si>
    <t>Atlantic</t>
  </si>
  <si>
    <t>0414</t>
  </si>
  <si>
    <t>Audubon</t>
  </si>
  <si>
    <t>0423</t>
  </si>
  <si>
    <t>Aurelia</t>
  </si>
  <si>
    <t>0441</t>
  </si>
  <si>
    <t>0472</t>
  </si>
  <si>
    <t>Ballard</t>
  </si>
  <si>
    <t>0504</t>
  </si>
  <si>
    <t>Battle Creek-Ida Grove</t>
  </si>
  <si>
    <t>0513</t>
  </si>
  <si>
    <t>Baxter</t>
  </si>
  <si>
    <t>0540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</si>
  <si>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</si>
  <si>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</si>
  <si>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</si>
  <si>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</si>
  <si>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</si>
  <si>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</si>
  <si>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</si>
  <si>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</si>
  <si>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</si>
  <si>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</si>
  <si>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</si>
  <si>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</si>
  <si>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</si>
  <si>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</si>
  <si>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</si>
  <si>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</si>
  <si>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</si>
  <si>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</si>
  <si>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</si>
  <si>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</si>
  <si>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</si>
  <si>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</si>
  <si>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</si>
  <si>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</si>
  <si>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</si>
  <si>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</si>
  <si>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</si>
  <si>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</si>
  <si>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</si>
  <si>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</si>
  <si>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</si>
  <si>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0916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</si>
  <si>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</si>
  <si>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</si>
  <si>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</si>
  <si>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</si>
  <si>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</si>
  <si>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</si>
  <si>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</si>
  <si>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</si>
  <si>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</si>
  <si>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</si>
  <si>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</si>
  <si>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</si>
  <si>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</si>
  <si>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</si>
  <si>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</si>
  <si>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</si>
  <si>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</si>
  <si>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</si>
  <si>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</si>
  <si>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</si>
  <si>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</si>
  <si>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</t>
  </si>
  <si>
    <t>1082</t>
  </si>
  <si>
    <t>Central DeWitt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</si>
  <si>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</si>
  <si>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</si>
  <si>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</si>
  <si>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</si>
  <si>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</si>
  <si>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</si>
  <si>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</si>
  <si>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</si>
  <si>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</si>
  <si>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</si>
  <si>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</si>
  <si>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</si>
  <si>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</si>
  <si>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</si>
  <si>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</si>
  <si>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</si>
  <si>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</si>
  <si>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</si>
  <si>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</si>
  <si>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</si>
  <si>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</si>
  <si>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</si>
  <si>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</si>
  <si>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1221</t>
  </si>
  <si>
    <t>Clear Creek Amana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</si>
  <si>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</si>
  <si>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</si>
  <si>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</si>
  <si>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</si>
  <si>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</si>
  <si>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</si>
  <si>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</si>
  <si>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</si>
  <si>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</si>
  <si>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</si>
  <si>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</si>
  <si>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</si>
  <si>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</si>
  <si>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</si>
  <si>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</si>
  <si>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</si>
  <si>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</si>
  <si>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</si>
  <si>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1449</t>
  </si>
  <si>
    <t>Corwith-Wesley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</si>
  <si>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</si>
  <si>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</si>
  <si>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</si>
  <si>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</si>
  <si>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</si>
  <si>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</si>
  <si>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</si>
  <si>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</si>
  <si>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</si>
  <si>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</si>
  <si>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</si>
  <si>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</si>
  <si>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</si>
  <si>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</si>
  <si>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</si>
  <si>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</si>
  <si>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</si>
  <si>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</si>
  <si>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</si>
  <si>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</si>
  <si>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</si>
  <si>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</si>
  <si>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</si>
  <si>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</si>
  <si>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</si>
  <si>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</si>
  <si>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</si>
  <si>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</si>
  <si>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</si>
  <si>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</si>
  <si>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</si>
  <si>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</si>
  <si>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</si>
  <si>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</si>
  <si>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</si>
  <si>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</si>
  <si>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</si>
  <si>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</si>
  <si>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</si>
  <si>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</si>
  <si>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</si>
  <si>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</si>
  <si>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</si>
  <si>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</si>
  <si>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</si>
  <si>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</si>
  <si>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</si>
  <si>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</si>
  <si>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</si>
  <si>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</si>
  <si>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</si>
  <si>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</si>
  <si>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</si>
  <si>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</si>
  <si>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</si>
  <si>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</si>
  <si>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</si>
  <si>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</si>
  <si>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</si>
  <si>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</si>
  <si>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</si>
  <si>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</si>
  <si>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</si>
  <si>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Exira-Elk Horn-</t>
  </si>
  <si>
    <t>2169</t>
  </si>
  <si>
    <t>Fairfield</t>
  </si>
  <si>
    <t>2205</t>
  </si>
  <si>
    <t>Farragut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</si>
  <si>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</si>
  <si>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</si>
  <si>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</si>
  <si>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</si>
  <si>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</si>
  <si>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</si>
  <si>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</si>
  <si>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</si>
  <si>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</si>
  <si>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</si>
  <si>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</si>
  <si>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</si>
  <si>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</si>
  <si>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</si>
  <si>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</si>
  <si>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</si>
  <si>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</si>
  <si>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</si>
  <si>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</si>
  <si>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</si>
  <si>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</si>
  <si>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</si>
  <si>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</si>
  <si>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</si>
  <si>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</si>
  <si>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</si>
  <si>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</si>
  <si>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>Nodaway Valley</t>
  </si>
  <si>
    <t>2682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</si>
  <si>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</si>
  <si>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</si>
  <si>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</si>
  <si>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</si>
  <si>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</si>
  <si>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</si>
  <si>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</si>
  <si>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</si>
  <si>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</si>
  <si>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</si>
  <si>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</si>
  <si>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</si>
  <si>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</si>
  <si>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</si>
  <si>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</si>
  <si>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</si>
  <si>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</si>
  <si>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</si>
  <si>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</si>
  <si>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</si>
  <si>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</si>
  <si>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</si>
  <si>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</si>
  <si>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</si>
  <si>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</si>
  <si>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</si>
  <si>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</si>
  <si>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</si>
  <si>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</si>
  <si>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</si>
  <si>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</si>
  <si>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</si>
  <si>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</si>
  <si>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</si>
  <si>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</si>
  <si>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</si>
  <si>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</si>
  <si>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</si>
  <si>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</si>
  <si>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</si>
  <si>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</si>
  <si>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</si>
  <si>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</si>
  <si>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</si>
  <si>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</si>
  <si>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</si>
  <si>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</si>
  <si>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</si>
  <si>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</si>
  <si>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</si>
  <si>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</si>
  <si>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</si>
  <si>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</si>
  <si>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</si>
  <si>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Jesup</t>
  </si>
  <si>
    <t>3231</t>
  </si>
  <si>
    <t>Johnston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</si>
  <si>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</si>
  <si>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</si>
  <si>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</si>
  <si>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</si>
  <si>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</si>
  <si>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</si>
  <si>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</si>
  <si>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</si>
  <si>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</si>
  <si>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</si>
  <si>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</si>
  <si>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</si>
  <si>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</si>
  <si>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</si>
  <si>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</si>
  <si>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</si>
  <si>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</si>
  <si>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</si>
  <si>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</si>
  <si>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</si>
  <si>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</si>
  <si>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</si>
  <si>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</si>
  <si>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</si>
  <si>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</si>
  <si>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</si>
  <si>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</si>
  <si>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</si>
  <si>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</si>
  <si>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</si>
  <si>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</si>
  <si>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</si>
  <si>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</si>
  <si>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</si>
  <si>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</si>
  <si>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</si>
  <si>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</si>
  <si>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</si>
  <si>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</si>
  <si>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</si>
  <si>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</si>
  <si>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</si>
  <si>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</si>
  <si>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</si>
  <si>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</si>
  <si>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</si>
  <si>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</si>
  <si>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</si>
  <si>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</si>
  <si>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</si>
  <si>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</si>
  <si>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</si>
  <si>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</si>
  <si>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</si>
  <si>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</si>
  <si>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</si>
  <si>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</si>
  <si>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</si>
  <si>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</si>
  <si>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</si>
  <si>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</si>
  <si>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</si>
  <si>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</si>
  <si>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</si>
  <si>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</si>
  <si>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</si>
  <si>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</si>
  <si>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</si>
  <si>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</si>
  <si>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</si>
  <si>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</si>
  <si>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</si>
  <si>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</si>
  <si>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</si>
  <si>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</si>
  <si>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</si>
  <si>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</si>
  <si>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</si>
  <si>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</si>
  <si>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</si>
  <si>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</si>
  <si>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</si>
  <si>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</si>
  <si>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</si>
  <si>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</si>
  <si>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</si>
  <si>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</si>
  <si>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</si>
  <si>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</si>
  <si>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</si>
  <si>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</si>
  <si>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</si>
  <si>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</si>
  <si>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</si>
  <si>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</si>
  <si>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</si>
  <si>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</si>
  <si>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</si>
  <si>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</si>
  <si>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</si>
  <si>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</si>
  <si>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</si>
  <si>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</si>
  <si>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</si>
  <si>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</si>
  <si>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</si>
  <si>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</si>
  <si>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</si>
  <si>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</si>
  <si>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4773</t>
  </si>
  <si>
    <t>Northeast</t>
  </si>
  <si>
    <t>4774</t>
  </si>
  <si>
    <t>North Fayette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</si>
  <si>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</si>
  <si>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</si>
  <si>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</si>
  <si>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</si>
  <si>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</si>
  <si>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</si>
  <si>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</si>
  <si>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</si>
  <si>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</si>
  <si>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</si>
  <si>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</si>
  <si>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</si>
  <si>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</si>
  <si>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</si>
  <si>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</si>
  <si>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</si>
  <si>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</si>
  <si>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</si>
  <si>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</si>
  <si>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</si>
  <si>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</si>
  <si>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</si>
  <si>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</si>
  <si>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</si>
  <si>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</si>
  <si>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</si>
  <si>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</si>
  <si>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</si>
  <si>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</si>
  <si>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</si>
  <si>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</si>
  <si>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</si>
  <si>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</si>
  <si>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</si>
  <si>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</si>
  <si>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</si>
  <si>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</si>
  <si>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</si>
  <si>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</si>
  <si>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</si>
  <si>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</si>
  <si>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</si>
  <si>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</si>
  <si>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</si>
  <si>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</si>
  <si>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</si>
  <si>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</si>
  <si>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</si>
  <si>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</si>
  <si>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</si>
  <si>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</si>
  <si>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</si>
  <si>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</si>
  <si>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</si>
  <si>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</si>
  <si>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</si>
  <si>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</si>
  <si>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</si>
  <si>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</si>
  <si>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5328</t>
  </si>
  <si>
    <t>Prescott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</si>
  <si>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</si>
  <si>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</si>
  <si>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</si>
  <si>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</si>
  <si>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</si>
  <si>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</si>
  <si>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</si>
  <si>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</si>
  <si>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</si>
  <si>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</si>
  <si>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</si>
  <si>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</si>
  <si>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</si>
  <si>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</si>
  <si>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</si>
  <si>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</si>
  <si>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</si>
  <si>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</si>
  <si>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</si>
  <si>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</si>
  <si>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</si>
  <si>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</si>
  <si>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</si>
  <si>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</si>
  <si>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</si>
  <si>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</si>
  <si>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</si>
  <si>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</si>
  <si>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</si>
  <si>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</si>
  <si>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</si>
  <si>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</si>
  <si>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</si>
  <si>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</si>
  <si>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</si>
  <si>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</si>
  <si>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</si>
  <si>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</si>
  <si>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</si>
  <si>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</si>
  <si>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</si>
  <si>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</si>
  <si>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</si>
  <si>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</si>
  <si>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</si>
  <si>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</si>
  <si>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</si>
  <si>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</si>
  <si>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</si>
  <si>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</si>
  <si>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</si>
  <si>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</si>
  <si>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</si>
  <si>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</si>
  <si>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</si>
  <si>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</si>
  <si>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</si>
  <si>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</si>
  <si>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</si>
  <si>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</si>
  <si>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</si>
  <si>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</si>
  <si>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</si>
  <si>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</si>
  <si>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</si>
  <si>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</si>
  <si>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</si>
  <si>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</si>
  <si>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</si>
  <si>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</si>
  <si>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</si>
  <si>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</si>
  <si>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</si>
  <si>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</si>
  <si>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</si>
  <si>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</si>
  <si>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</si>
  <si>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</si>
  <si>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</si>
  <si>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</si>
  <si>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</si>
  <si>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</si>
  <si>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</si>
  <si>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</si>
  <si>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</si>
  <si>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</si>
  <si>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</si>
  <si>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</si>
  <si>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</si>
  <si>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</si>
  <si>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</si>
  <si>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</si>
  <si>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</si>
  <si>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</si>
  <si>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</si>
  <si>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</si>
  <si>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</si>
  <si>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</si>
  <si>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</si>
  <si>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</si>
  <si>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</si>
  <si>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</si>
  <si>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</si>
  <si>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</si>
  <si>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</si>
  <si>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</si>
  <si>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</si>
  <si>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</si>
  <si>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</si>
  <si>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</si>
  <si>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</si>
  <si>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</si>
  <si>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</si>
  <si>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</si>
  <si>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</si>
  <si>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</si>
  <si>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</si>
  <si>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</si>
  <si>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</si>
  <si>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</si>
  <si>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</si>
  <si>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</si>
  <si>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</si>
  <si>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</si>
  <si>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</si>
  <si>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</si>
  <si>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</si>
  <si>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</si>
  <si>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</si>
  <si>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</si>
  <si>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</si>
  <si>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</si>
  <si>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</si>
  <si>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</si>
  <si>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</si>
  <si>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</si>
  <si>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</si>
  <si>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</si>
  <si>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</si>
  <si>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</si>
  <si>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</si>
  <si>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</si>
  <si>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</si>
  <si>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</si>
  <si>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</si>
  <si>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</si>
  <si>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</si>
  <si>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</si>
  <si>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</si>
  <si>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</si>
  <si>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</si>
  <si>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</si>
  <si>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</si>
  <si>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</si>
  <si>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</si>
  <si>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</si>
  <si>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</si>
  <si>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</si>
  <si>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</si>
  <si>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</si>
  <si>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</si>
  <si>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</si>
  <si>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</si>
  <si>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</si>
  <si>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</si>
  <si>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</si>
  <si>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</si>
  <si>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</si>
  <si>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</si>
  <si>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</si>
  <si>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</si>
  <si>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</si>
  <si>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</si>
  <si>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</si>
  <si>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</si>
  <si>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</si>
  <si>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</si>
  <si>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</si>
  <si>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</si>
  <si>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</si>
  <si>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</si>
  <si>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</si>
  <si>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</si>
  <si>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</si>
  <si>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</si>
  <si>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</si>
  <si>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9201</t>
  </si>
  <si>
    <t>Keystone AEA</t>
  </si>
  <si>
    <t>9205</t>
  </si>
  <si>
    <t>Prairie Lakes AEA</t>
  </si>
  <si>
    <t>9207</t>
  </si>
  <si>
    <t>AEA 267</t>
  </si>
  <si>
    <t>9209</t>
  </si>
  <si>
    <t>Mississippi Bend AEA</t>
  </si>
  <si>
    <t>9210</t>
  </si>
  <si>
    <t>Grant Wood AEA</t>
  </si>
  <si>
    <t>9211</t>
  </si>
  <si>
    <t>AEA 11</t>
  </si>
  <si>
    <t>9212</t>
  </si>
  <si>
    <t>Northwest AEA</t>
  </si>
  <si>
    <t>9213</t>
  </si>
  <si>
    <t>AEA 13</t>
  </si>
  <si>
    <t>9215</t>
  </si>
  <si>
    <t>Great Prairie AEA</t>
  </si>
  <si>
    <t>Column</t>
  </si>
  <si>
    <t>District Code</t>
  </si>
  <si>
    <t>FY15 Balance</t>
  </si>
  <si>
    <t>Excess/Deficit</t>
  </si>
  <si>
    <t>Categorical Fund</t>
  </si>
  <si>
    <t>3204 Teacher Salary Supplement</t>
  </si>
  <si>
    <t>Projected Balance</t>
  </si>
  <si>
    <t>PROJECTIONS</t>
  </si>
  <si>
    <t>CATEGORICAL CUMULATIVE FUND BALANCE</t>
  </si>
  <si>
    <t>Historical</t>
  </si>
  <si>
    <r>
      <t xml:space="preserve">Key Assumptions (General Fund, except in </t>
    </r>
    <r>
      <rPr>
        <b/>
        <sz val="18"/>
        <color rgb="FF659F65"/>
        <rFont val="Arial"/>
        <family val="2"/>
      </rPr>
      <t>Green Cells</t>
    </r>
    <r>
      <rPr>
        <b/>
        <sz val="18"/>
        <color theme="0"/>
        <rFont val="Arial"/>
        <family val="2"/>
      </rPr>
      <t>)</t>
    </r>
  </si>
  <si>
    <t>MISCELLANEOUS REVENUE REPORT</t>
  </si>
  <si>
    <t>TAX RATE SUMMARY</t>
  </si>
  <si>
    <t>KEY RESULTS</t>
  </si>
  <si>
    <t>HISTORICAL</t>
  </si>
  <si>
    <t>PROJECTION</t>
  </si>
  <si>
    <t>SOLVENCY HISTORY AND PROJECTION REPORT</t>
  </si>
  <si>
    <t>SERVED ENROLLMENT</t>
  </si>
  <si>
    <t>out_tlc_calc</t>
  </si>
  <si>
    <t>out_bindings_general_fund_bindings</t>
  </si>
  <si>
    <t>out_isl_educational_improvement</t>
  </si>
  <si>
    <t>out_rates</t>
  </si>
  <si>
    <t>Ed Improvement Authority</t>
  </si>
  <si>
    <t>out_positive</t>
  </si>
  <si>
    <t>HISTORY</t>
  </si>
  <si>
    <t>3117 Four-year-old Preschool State Aid</t>
  </si>
  <si>
    <t>3216 Iowa Early Intervention Block Grant</t>
  </si>
  <si>
    <t>3373 Professional Development for Model Core Curriculum</t>
  </si>
  <si>
    <t>3376 Professional Development</t>
  </si>
  <si>
    <t>out_authorized_budget_areas2</t>
  </si>
  <si>
    <t>Assigned/Unassigned Dollars</t>
  </si>
  <si>
    <t>5.4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</si>
  <si>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</si>
  <si>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</si>
  <si>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</si>
  <si>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</si>
  <si>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</si>
  <si>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</si>
  <si>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</si>
  <si>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</si>
  <si>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</si>
  <si>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</si>
  <si>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</si>
  <si>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</si>
  <si>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</si>
  <si>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</si>
  <si>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</si>
  <si>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</si>
  <si>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</si>
  <si>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</si>
  <si>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</si>
  <si>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</si>
  <si>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</si>
  <si>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</si>
  <si>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</si>
  <si>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</si>
  <si>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</si>
  <si>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</si>
  <si>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</si>
  <si>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</si>
  <si>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</si>
  <si>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</si>
  <si>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</si>
  <si>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</si>
  <si>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</si>
  <si>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</si>
  <si>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</si>
  <si>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</si>
  <si>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</si>
  <si>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</si>
  <si>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</si>
  <si>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</si>
  <si>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</si>
  <si>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</si>
  <si>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</si>
  <si>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</si>
  <si>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</si>
  <si>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</si>
  <si>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</si>
  <si>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</si>
  <si>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</si>
  <si>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</si>
  <si>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</si>
  <si>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</si>
  <si>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</si>
  <si>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</si>
  <si>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</si>
  <si>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</si>
  <si>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</si>
  <si>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</si>
  <si>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</si>
  <si>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</si>
  <si>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</si>
  <si>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</si>
  <si>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</si>
  <si>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</si>
  <si>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</si>
  <si>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</si>
  <si>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</si>
  <si>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</si>
  <si>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</si>
  <si>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</si>
  <si>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</si>
  <si>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</si>
  <si>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</si>
  <si>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</si>
  <si>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</si>
  <si>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</si>
  <si>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</si>
  <si>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</si>
  <si>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</si>
  <si>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</si>
  <si>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</si>
  <si>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</si>
  <si>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</si>
  <si>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</si>
  <si>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</si>
  <si>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</si>
  <si>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</si>
  <si>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</si>
  <si>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</si>
  <si>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</si>
  <si>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</si>
  <si>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</si>
  <si>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</si>
  <si>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</si>
  <si>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</si>
  <si>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</si>
  <si>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</si>
  <si>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</si>
  <si>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</si>
  <si>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</si>
  <si>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</si>
  <si>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</si>
  <si>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</si>
  <si>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</si>
  <si>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</si>
  <si>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</si>
  <si>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</si>
  <si>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</si>
  <si>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</si>
  <si>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</si>
  <si>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</si>
  <si>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</si>
  <si>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</si>
  <si>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</si>
  <si>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</si>
  <si>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</si>
  <si>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</si>
  <si>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</si>
  <si>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</si>
  <si>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</si>
  <si>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</si>
  <si>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5.1</t>
  </si>
  <si>
    <t>5.2</t>
  </si>
  <si>
    <t>5.3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</si>
  <si>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</si>
  <si>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</si>
  <si>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</si>
  <si>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</si>
  <si>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</si>
  <si>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</si>
  <si>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</si>
  <si>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</si>
  <si>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</si>
  <si>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</si>
  <si>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</si>
  <si>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</si>
  <si>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</si>
  <si>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</si>
  <si>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</si>
  <si>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</si>
  <si>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</si>
  <si>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</si>
  <si>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</si>
  <si>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</si>
  <si>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</si>
  <si>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</si>
  <si>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</si>
  <si>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</si>
  <si>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</si>
  <si>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</si>
  <si>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</si>
  <si>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</si>
  <si>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</si>
  <si>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</si>
  <si>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</si>
  <si>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</si>
  <si>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</si>
  <si>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</si>
  <si>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</si>
  <si>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</si>
  <si>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</si>
  <si>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</si>
  <si>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</si>
  <si>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</si>
  <si>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</si>
  <si>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</si>
  <si>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</si>
  <si>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</si>
  <si>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</si>
  <si>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</si>
  <si>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</si>
  <si>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</si>
  <si>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</si>
  <si>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</si>
  <si>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</si>
  <si>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</si>
  <si>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</si>
  <si>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</si>
  <si>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</si>
  <si>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</si>
  <si>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</si>
  <si>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</si>
  <si>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</si>
  <si>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</si>
  <si>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</si>
  <si>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</si>
  <si>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</si>
  <si>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</si>
  <si>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</si>
  <si>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</si>
  <si>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</si>
  <si>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</si>
  <si>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</si>
  <si>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</si>
  <si>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</si>
  <si>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</si>
  <si>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</si>
  <si>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</si>
  <si>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</si>
  <si>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</si>
  <si>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</si>
  <si>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</si>
  <si>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</si>
  <si>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</si>
  <si>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</si>
  <si>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</si>
  <si>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</si>
  <si>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</si>
  <si>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</si>
  <si>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</si>
  <si>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</si>
  <si>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</si>
  <si>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</si>
  <si>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</si>
  <si>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</si>
  <si>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</si>
  <si>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</si>
  <si>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</si>
  <si>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</si>
  <si>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</si>
  <si>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</si>
  <si>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</si>
  <si>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</si>
  <si>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</si>
  <si>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</si>
  <si>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</si>
  <si>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</si>
  <si>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</si>
  <si>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</si>
  <si>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</si>
  <si>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</si>
  <si>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</si>
  <si>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</si>
  <si>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</si>
  <si>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</si>
  <si>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</si>
  <si>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</si>
  <si>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</si>
  <si>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</si>
  <si>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</si>
  <si>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</si>
  <si>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</si>
  <si>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</si>
  <si>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</si>
  <si>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</si>
  <si>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</si>
  <si>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</si>
  <si>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</si>
  <si>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</si>
  <si>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</si>
  <si>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</si>
  <si>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</si>
  <si>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</si>
  <si>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</si>
  <si>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</si>
  <si>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</si>
  <si>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</si>
  <si>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</si>
  <si>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</si>
  <si>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</si>
  <si>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</si>
  <si>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</si>
  <si>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</si>
  <si>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</si>
  <si>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</si>
  <si>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</si>
  <si>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</si>
  <si>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</si>
  <si>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</si>
  <si>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</si>
  <si>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</si>
  <si>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</si>
  <si>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</si>
  <si>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</si>
  <si>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</si>
  <si>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</si>
  <si>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</si>
  <si>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</si>
  <si>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</si>
  <si>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</si>
  <si>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</si>
  <si>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</si>
  <si>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</si>
  <si>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</si>
  <si>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</si>
  <si>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</si>
  <si>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</si>
  <si>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</si>
  <si>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</si>
  <si>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</si>
  <si>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</si>
  <si>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</si>
  <si>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</si>
  <si>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</si>
  <si>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</si>
  <si>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</si>
  <si>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</si>
  <si>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</si>
  <si>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</si>
  <si>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</si>
  <si>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</si>
  <si>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</si>
  <si>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</si>
  <si>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</si>
  <si>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</si>
  <si>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</si>
  <si>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</si>
  <si>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</si>
  <si>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</si>
  <si>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</si>
  <si>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</si>
  <si>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</si>
  <si>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</si>
  <si>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</si>
  <si>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</si>
  <si>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</si>
  <si>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</si>
  <si>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</si>
  <si>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</si>
  <si>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</si>
  <si>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</si>
  <si>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</si>
  <si>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</si>
  <si>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</si>
  <si>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</si>
  <si>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</si>
  <si>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</si>
  <si>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</si>
  <si>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</si>
  <si>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</si>
  <si>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</si>
  <si>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</si>
  <si>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</si>
  <si>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</si>
  <si>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</si>
  <si>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</si>
  <si>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</si>
  <si>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</si>
  <si>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</si>
  <si>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</si>
  <si>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</si>
  <si>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</si>
  <si>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</si>
  <si>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</si>
  <si>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</si>
  <si>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</si>
  <si>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</si>
  <si>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</si>
  <si>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</si>
  <si>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</si>
  <si>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</si>
  <si>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</si>
  <si>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</si>
  <si>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</si>
  <si>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</si>
  <si>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</si>
  <si>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</si>
  <si>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</si>
  <si>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</si>
  <si>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</si>
  <si>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</si>
  <si>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</si>
  <si>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</si>
  <si>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</si>
  <si>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</si>
  <si>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</si>
  <si>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</si>
  <si>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</si>
  <si>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</si>
  <si>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</si>
  <si>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</si>
  <si>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</si>
  <si>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</si>
  <si>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</si>
  <si>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</si>
  <si>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</si>
  <si>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</si>
  <si>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</si>
  <si>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</si>
  <si>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</si>
  <si>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</si>
  <si>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</si>
  <si>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</si>
  <si>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</si>
  <si>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</si>
  <si>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21.1</t>
  </si>
  <si>
    <t>21.2</t>
  </si>
  <si>
    <t>21.3</t>
  </si>
  <si>
    <t>21.4</t>
  </si>
  <si>
    <t>21.5</t>
  </si>
  <si>
    <t>21.6</t>
  </si>
  <si>
    <t>21.7</t>
  </si>
  <si>
    <t>out_al_2016</t>
  </si>
  <si>
    <t>out_al_2017</t>
  </si>
  <si>
    <t>out_al_2018</t>
  </si>
  <si>
    <t>out_al_2019</t>
  </si>
  <si>
    <t>out_al_2020</t>
  </si>
  <si>
    <t>out_al_2021</t>
  </si>
  <si>
    <t>out_al_2022</t>
  </si>
  <si>
    <t>Budget Year</t>
  </si>
  <si>
    <t>2022-23</t>
  </si>
  <si>
    <t>Fund</t>
  </si>
  <si>
    <t>2013</t>
  </si>
  <si>
    <t>2014</t>
  </si>
  <si>
    <t>2022</t>
  </si>
  <si>
    <t>2023</t>
  </si>
  <si>
    <t>Object</t>
  </si>
  <si>
    <t>ANNUAL AUTHORIZED BUDGET</t>
  </si>
  <si>
    <t>FY23</t>
  </si>
  <si>
    <t>Fund Rollup</t>
  </si>
  <si>
    <t>Source</t>
  </si>
  <si>
    <t>3116</t>
  </si>
  <si>
    <t>Detail Source</t>
  </si>
  <si>
    <t>Misc Rev</t>
  </si>
  <si>
    <t>SubSource</t>
  </si>
  <si>
    <t>Change to 2011-12</t>
  </si>
  <si>
    <t>Change to 2010-2011</t>
  </si>
  <si>
    <t>out_al_2023</t>
  </si>
  <si>
    <t>Expenditure Change</t>
  </si>
  <si>
    <t>Unspent Authorized Budget Change</t>
  </si>
  <si>
    <t>Annual Authorized Budget</t>
  </si>
  <si>
    <t>Percent of Annual Authority Spent</t>
  </si>
  <si>
    <t>UAB Ratio</t>
  </si>
  <si>
    <t>IA - FY18 Griswold Revenue Calculator</t>
  </si>
  <si>
    <t>IA - FY18 Griswold General Fund Salary and Benefits Calculator</t>
  </si>
  <si>
    <t>Griswold Community School District</t>
  </si>
  <si>
    <t>10 General Fund</t>
  </si>
  <si>
    <t>21 Student Activity Fund</t>
  </si>
  <si>
    <t>22 Management Levy Fund</t>
  </si>
  <si>
    <t>27 District or AEA Support Trust Funds</t>
  </si>
  <si>
    <t>31 Fund 31</t>
  </si>
  <si>
    <t>33 Local Option / Statewide Sales and Services Tax Fund</t>
  </si>
  <si>
    <t>34 Fund 34</t>
  </si>
  <si>
    <t>36 PPEL Fund</t>
  </si>
  <si>
    <t>40 Debt Service Fund</t>
  </si>
  <si>
    <t>61 School Nutrition Fund</t>
  </si>
  <si>
    <t>71 Self-Insurance Fund</t>
  </si>
  <si>
    <t>81 Scholarship Trust Funds</t>
  </si>
  <si>
    <t>100 Personal Services-Salaries</t>
  </si>
  <si>
    <t>200 Personal Services-Employee Benefits</t>
  </si>
  <si>
    <t>300 Purchased Professional and Technical Services not from another AEA or LEA</t>
  </si>
  <si>
    <t>400 Purchased Property Services</t>
  </si>
  <si>
    <t>500 Other Purchased Services</t>
  </si>
  <si>
    <t>600 Supplies</t>
  </si>
  <si>
    <t>700 Property</t>
  </si>
  <si>
    <t>800 Debt Service and Miscellaneous Objects</t>
  </si>
  <si>
    <t>900 Other Items</t>
  </si>
  <si>
    <t>Source Level 4</t>
  </si>
  <si>
    <t>1111 REGULAR TAXES</t>
  </si>
  <si>
    <t>1114 INSTRUCTIONAL SUPPORT TAXES</t>
  </si>
  <si>
    <t>1130 INCOME TAXES</t>
  </si>
  <si>
    <t>1171 UTILITY EXCISE REPLACEMENT TAX</t>
  </si>
  <si>
    <t>1312 TUITION FROM INDIVIDUALS, SPECIAL ED</t>
  </si>
  <si>
    <t>1313 TUITION DRIVERS ED</t>
  </si>
  <si>
    <t>1322 SPECIAL EDUCATION PROGRAM</t>
  </si>
  <si>
    <t>1323 OPEN ENROLLMENT, REGULAR PGMS</t>
  </si>
  <si>
    <t>1510 INTEREST ON INVESTMENTS</t>
  </si>
  <si>
    <t>1910 RENTAL</t>
  </si>
  <si>
    <t>1920 CONTRIBUTIONS &amp; DONATIONS</t>
  </si>
  <si>
    <t>1924 PROGRAM SPECIFIC DONATIONS</t>
  </si>
  <si>
    <t>1925 LIBRARY DONATIONS</t>
  </si>
  <si>
    <t>1951 TEACHER SERVICES OTHER LEA</t>
  </si>
  <si>
    <t>1981 REFUND PRIOR YEAR EXP-FUEL TAX</t>
  </si>
  <si>
    <t>1989 OTHER REFUNDS PRIOR YEAR EXPENSES</t>
  </si>
  <si>
    <t>1991 SALE OF MATERIALS</t>
  </si>
  <si>
    <t>1996 MICROSOFT SETTLEMENT</t>
  </si>
  <si>
    <t>1999 MISCELLANEOUS INCOME</t>
  </si>
  <si>
    <t>3111 STATE FOUNDATION AID</t>
  </si>
  <si>
    <t>3113 SP ED DEFICIT SUPPLEMENT-STATE AID</t>
  </si>
  <si>
    <t>3116 Teacher Leadership State Aid</t>
  </si>
  <si>
    <t>3117 STATE PRESCHOOL GRANT</t>
  </si>
  <si>
    <t>3118 SUPPLEMENTAL STATE AID</t>
  </si>
  <si>
    <t>3121 FOSTER CARE CLAIMS</t>
  </si>
  <si>
    <t>3123 Special Education Services for district court placed (parental rights severed)</t>
  </si>
  <si>
    <t>3202 BEGINNING TEACHER INDUCTION</t>
  </si>
  <si>
    <t>3204 TEACHER QUALITY SALARY IMPROVE</t>
  </si>
  <si>
    <t>3214 AEA FLOWTHROUGH</t>
  </si>
  <si>
    <t>3216 EARLY INTERVENTION (K-3)</t>
  </si>
  <si>
    <t>3261 VOCATIONAL AID</t>
  </si>
  <si>
    <t>3342 EARLY LITERACY</t>
  </si>
  <si>
    <t>3373 TEACHER QUAL. CORE CURRICULUM</t>
  </si>
  <si>
    <t>3374 AIW GRANT--TEACHER DEVELOPMENT ACADEMIES</t>
  </si>
  <si>
    <t>3376 TEACHER QUALITY PROF DEV.</t>
  </si>
  <si>
    <t>3387 TEACHER LEADERSHIP</t>
  </si>
  <si>
    <t>3801 MILITARY CREDIT</t>
  </si>
  <si>
    <t>3803 STATE REPLACEMENT FOR C &amp; I PROP VAL</t>
  </si>
  <si>
    <t>4334 REAP (CDFA 84.358A)</t>
  </si>
  <si>
    <t>4501 TITLE I, CURRENT YEAR</t>
  </si>
  <si>
    <t>4531 TITLE II C BASIC GRANTS</t>
  </si>
  <si>
    <t>4634 Medical Assistance Program</t>
  </si>
  <si>
    <t>4643 TITLE 2, PART A</t>
  </si>
  <si>
    <t>4648 TITLE VI A-GRANTS ASSESSMENTS</t>
  </si>
  <si>
    <t>4720 IDEA FUNDS</t>
  </si>
  <si>
    <t>5900 UPWARD ADJUSTMENT TO BEGINNING FUND BAL</t>
  </si>
  <si>
    <t>1710 ADMISSIONS</t>
  </si>
  <si>
    <t>1740 FEES</t>
  </si>
  <si>
    <t>1790 OTHER STUDENT ACTIVITY INCOME</t>
  </si>
  <si>
    <t>1791 FUND RAISERS</t>
  </si>
  <si>
    <t>1792 Source</t>
  </si>
  <si>
    <t>1793 Otheractivity income - 1793</t>
  </si>
  <si>
    <t>1794 Otheractivity income - 1794</t>
  </si>
  <si>
    <t>5111 GENERAL OBLIGATION BONDS</t>
  </si>
  <si>
    <t>5120 PREMIUM</t>
  </si>
  <si>
    <t>1121 LOCAL OPTION SALES TAX</t>
  </si>
  <si>
    <t>3361 STATEWIDE SALED &amp; SERVICES TAX</t>
  </si>
  <si>
    <t>5500 PROCEEDS OF CAPITAL LEASES</t>
  </si>
  <si>
    <t>5233 INTERFUND TRANSFER FROM CAP PROJ</t>
  </si>
  <si>
    <t>1611 DAILY SALES-SCHOOL LUNCH PGM</t>
  </si>
  <si>
    <t>1612 DAILY SALES-SCHOOL BREAKFAST</t>
  </si>
  <si>
    <t>1621 ALA CARTE SALES</t>
  </si>
  <si>
    <t>1622 ADULT LUNCH SALES</t>
  </si>
  <si>
    <t>1623 ADULT BREAKFAST SALES</t>
  </si>
  <si>
    <t>1632 FOOD SERVED/SOLD TO GENERAL PUBLIC</t>
  </si>
  <si>
    <t>1998 FOOD REBATE/COUPON REFUNDING</t>
  </si>
  <si>
    <t>3251 SCHOOL LUNCH CASH ASSISTANCE</t>
  </si>
  <si>
    <t>3252 SCHOOL BREAKFAST CASH ASSISTANCE-STATE</t>
  </si>
  <si>
    <t>4552 NATIONAL SCHOOL BREAKFAST PGM</t>
  </si>
  <si>
    <t>4553 NATIONAL SCHOOL LUNCH PROGRAM</t>
  </si>
  <si>
    <t>4951 COMMODITIES RECEIVED</t>
  </si>
  <si>
    <t>6100 CAPITAL CONTRIBUTIONS</t>
  </si>
  <si>
    <t>1970 SERVICES PROVIDED OTHER FUNDS</t>
  </si>
  <si>
    <t>Output</t>
  </si>
  <si>
    <t>1113 Project - Home School Assistance</t>
  </si>
  <si>
    <t>1114 Project - Instructional Support Program</t>
  </si>
  <si>
    <t>1116 Project - At-Risk Programs Project</t>
  </si>
  <si>
    <t>1118 Project - Gifted/Talented Programs</t>
  </si>
  <si>
    <t>1119 Project - Returning/Dropout Prevention</t>
  </si>
  <si>
    <t>3116/3387 Project - Teacher Leadership Grant</t>
  </si>
  <si>
    <t>3117 Project - Four-Year-Old Preschool</t>
  </si>
  <si>
    <t>3202 Project - Beginning Teacher Mentoring and Induction</t>
  </si>
  <si>
    <t>3204 Project - Teacher Salary Supplement</t>
  </si>
  <si>
    <t>3214 Project - AEA Flowthrough</t>
  </si>
  <si>
    <t>3216 Project - Iowa Early Intervention Block Grant</t>
  </si>
  <si>
    <t>3342 Project - Successful Progression for Early Readers</t>
  </si>
  <si>
    <t>3373 Project - Iowa Core</t>
  </si>
  <si>
    <t>3376 Project - Professional Development</t>
  </si>
  <si>
    <t>4501 Project - Title I</t>
  </si>
  <si>
    <t>4521 Project - Idea Grant</t>
  </si>
  <si>
    <t>4531 Project - Carl Perkins</t>
  </si>
  <si>
    <t>4634 Project - Medicaid Reimburse</t>
  </si>
  <si>
    <t>4643 Project - Title II A Teach Qual Prg</t>
  </si>
  <si>
    <t>Administration</t>
  </si>
  <si>
    <t>Associates</t>
  </si>
  <si>
    <t>Crafts and Trades</t>
  </si>
  <si>
    <t>Existing Tax Shelter Annuity</t>
  </si>
  <si>
    <t>Extra Duty</t>
  </si>
  <si>
    <t>Group Insurance</t>
  </si>
  <si>
    <t>Health Benefits</t>
  </si>
  <si>
    <t>IPERS</t>
  </si>
  <si>
    <t>Not Used In Calculator</t>
  </si>
  <si>
    <t>Office-Clerical</t>
  </si>
  <si>
    <t>Operations</t>
  </si>
  <si>
    <t>Other Professional</t>
  </si>
  <si>
    <t>Social Security</t>
  </si>
  <si>
    <t>Substitutes</t>
  </si>
  <si>
    <t>Teachers</t>
  </si>
  <si>
    <t>Technical</t>
  </si>
  <si>
    <t>Transportation-Service</t>
  </si>
  <si>
    <t>Unemployment Compensation</t>
  </si>
  <si>
    <t>Worker's Compensation</t>
  </si>
  <si>
    <t>Categoricals</t>
  </si>
  <si>
    <t>3208 Project - Market Factor Project</t>
  </si>
  <si>
    <t>3378 Project - Market Factor Incentives</t>
  </si>
  <si>
    <t>Not A Categorical Account Number</t>
  </si>
  <si>
    <t/>
  </si>
  <si>
    <t>DEBT SERVICE FUND DOLLARS</t>
  </si>
  <si>
    <t>TAX RATE -REGULAR PPEL FUND</t>
  </si>
  <si>
    <t>TAX RATE - VOTED PPEL FUND</t>
  </si>
  <si>
    <t>SOLVENCY RATIO</t>
  </si>
  <si>
    <t>ASSIGNED + UNASSIGNED FUND BALANCE</t>
  </si>
  <si>
    <t>AEA FLOWTHROUGH</t>
  </si>
  <si>
    <t>Unspent Authorized Budget Area</t>
  </si>
  <si>
    <t>2012</t>
  </si>
  <si>
    <t>Regular Program District Cost (Aid and Levy 5.1)</t>
  </si>
  <si>
    <t>Regular Program Budget Adjustment (Aid and Levy 5.2)</t>
  </si>
  <si>
    <t>Supplementary Weighting District Cost (Aid and Levy 5.3)</t>
  </si>
  <si>
    <t>Special Ed District Cost (Aid and Levy 5.4)</t>
  </si>
  <si>
    <t>Teacher Salary Supplement District Cost (Aid and Levy 5.5)</t>
  </si>
  <si>
    <t>Prof Dev Supplement District Cost (Aid and Levy 5.6)</t>
  </si>
  <si>
    <t>Early Intervention Suppl District Cost (Aid and Levy 5.7)</t>
  </si>
  <si>
    <t>Teacher Leadership Suppl District Cost (Aid and Levy 5.8)</t>
  </si>
  <si>
    <t>AEA Special Ed Support (Aid and Levy 5.9)</t>
  </si>
  <si>
    <t>AEA Special Ed Support Adjustment (Aid and Levy 5.10)</t>
  </si>
  <si>
    <t>AEA Media Services (Aid and Levy 5.11)</t>
  </si>
  <si>
    <t>AEA Educational Services (Aid and Levy 5.12)</t>
  </si>
  <si>
    <t>AEA Sharing District Cost (Aid and Levy 5.13)</t>
  </si>
  <si>
    <t>AEA Teacher Salary Suppl District Cost (Aid and Levy 5.14)</t>
  </si>
  <si>
    <t>AEA Prof Dev Suppl District Cost (Aid and Levy 5.15)</t>
  </si>
  <si>
    <t>SBRC Modified Suppl Amt Dropout Prev (Aid and Levy 5.17)</t>
  </si>
  <si>
    <t>SBRC Modified Suppl Amt Other #2</t>
  </si>
  <si>
    <t>Special Ed Deficit Modified Suppl Amt</t>
  </si>
  <si>
    <t>Preschool Foundation Aid (Aid and Levy 7.35)</t>
  </si>
  <si>
    <t>Instructional Support Authority (Aid and Levy 10.27)</t>
  </si>
  <si>
    <t>Ed Improvement Authority (Aid and Levy 11.9)</t>
  </si>
  <si>
    <t>Unspent Authorized Budget Ratio</t>
  </si>
  <si>
    <t>Annual Unspent Authorized Budget</t>
  </si>
  <si>
    <t>Annual Unspent Authorized Budget Ratio</t>
  </si>
  <si>
    <t>Solvency Ratio Areas</t>
  </si>
  <si>
    <t>Oct. 2010 (FY12)</t>
  </si>
  <si>
    <t>Oct. 2011 (FY13)</t>
  </si>
  <si>
    <t>Oct. 2012 (FY14)</t>
  </si>
  <si>
    <t>Oct. 2013 (FY15)</t>
  </si>
  <si>
    <t>ACTUAL SERVED ENROLLMENT</t>
  </si>
  <si>
    <t>Aid and Levy</t>
  </si>
  <si>
    <t>Supplemental State Aid</t>
  </si>
  <si>
    <t>0.0125</t>
  </si>
  <si>
    <t>0.0225</t>
  </si>
  <si>
    <t>0.0111</t>
  </si>
  <si>
    <t>SBRC Allowable Growth - Dropout</t>
  </si>
  <si>
    <t>111079</t>
  </si>
  <si>
    <t>151840</t>
  </si>
  <si>
    <t>110981</t>
  </si>
  <si>
    <t>Authorized Budget Areas</t>
  </si>
  <si>
    <t>Actual FY15</t>
  </si>
  <si>
    <t>Proj. FY16</t>
  </si>
  <si>
    <t>Proj. FY17</t>
  </si>
  <si>
    <t>Proj. FY18</t>
  </si>
  <si>
    <t>Proj. FY19</t>
  </si>
  <si>
    <t>Proj. FY20</t>
  </si>
  <si>
    <t>Proj. FY21</t>
  </si>
  <si>
    <t>Proj. FY22</t>
  </si>
  <si>
    <t>Proj. FY23</t>
  </si>
  <si>
    <t>0</t>
  </si>
  <si>
    <t>77125</t>
  </si>
  <si>
    <t>50928</t>
  </si>
  <si>
    <t>174339</t>
  </si>
  <si>
    <t>308651</t>
  </si>
  <si>
    <t>Enrollment Audit Adjustment Dollars</t>
  </si>
  <si>
    <t>Fall Enrollment</t>
  </si>
  <si>
    <t>Oct. 2014 (FY16)</t>
  </si>
  <si>
    <t>Oct. 2015 (FY17)</t>
  </si>
  <si>
    <t>Oct. 2016 (FY18)</t>
  </si>
  <si>
    <t>Oct. 2017 (FY19)</t>
  </si>
  <si>
    <t>Oct. 2018 (FY20)</t>
  </si>
  <si>
    <t>Oct. 2019 (FY21)</t>
  </si>
  <si>
    <t>Oct. 2020 (FY22)</t>
  </si>
  <si>
    <t>Oct. 2021 (FY23)</t>
  </si>
  <si>
    <t>Certified Enrollment Annual Change</t>
  </si>
  <si>
    <t>-27.299999999999955</t>
  </si>
  <si>
    <t>-17.600000000000023</t>
  </si>
  <si>
    <t>-12.299999999999955</t>
  </si>
  <si>
    <t>OE In</t>
  </si>
  <si>
    <t>13</t>
  </si>
  <si>
    <t>20</t>
  </si>
  <si>
    <t>25</t>
  </si>
  <si>
    <t>OE Out</t>
  </si>
  <si>
    <t>54.4</t>
  </si>
  <si>
    <t>49.5</t>
  </si>
  <si>
    <t>57.6</t>
  </si>
  <si>
    <t>Enrollment Inputs</t>
  </si>
  <si>
    <t>Preschool Enrollment # Students</t>
  </si>
  <si>
    <t>32</t>
  </si>
  <si>
    <t>19</t>
  </si>
  <si>
    <t>24</t>
  </si>
  <si>
    <t>Audit Change Preschool Enroll</t>
  </si>
  <si>
    <t>Nonpublic Students</t>
  </si>
  <si>
    <t>Shared-Time Nonpublic Counted</t>
  </si>
  <si>
    <t>Intentionally Left Blank</t>
  </si>
  <si>
    <t>0.92</t>
  </si>
  <si>
    <t>Spec Ed Level I # Students</t>
  </si>
  <si>
    <t>45</t>
  </si>
  <si>
    <t>52</t>
  </si>
  <si>
    <t>54.00000000000001</t>
  </si>
  <si>
    <t>Spec Ed Level 2 # Students</t>
  </si>
  <si>
    <t>16</t>
  </si>
  <si>
    <t>10</t>
  </si>
  <si>
    <t>12</t>
  </si>
  <si>
    <t>Spec Ed Level 3 # Students</t>
  </si>
  <si>
    <t>4</t>
  </si>
  <si>
    <t>4.999999999999999</t>
  </si>
  <si>
    <t>9.999999999999998</t>
  </si>
  <si>
    <t>AEA Supp for Sharing</t>
  </si>
  <si>
    <t>Supp Weighting - Sharing</t>
  </si>
  <si>
    <t>14.95</t>
  </si>
  <si>
    <t>14.74</t>
  </si>
  <si>
    <t>27.58</t>
  </si>
  <si>
    <t>Supp Weighting - At-Risk</t>
  </si>
  <si>
    <t>2.441</t>
  </si>
  <si>
    <t>2.627</t>
  </si>
  <si>
    <t>2.291</t>
  </si>
  <si>
    <t>Supp Weighting - ESL</t>
  </si>
  <si>
    <t>Supp Weighting - Reorg</t>
  </si>
  <si>
    <t>Other Aid and Levy Calculations</t>
  </si>
  <si>
    <t>ISL Maximum Portion (Can't exceed .1000)</t>
  </si>
  <si>
    <t>0.1</t>
  </si>
  <si>
    <t>Instructional Support Income Surtax Rate</t>
  </si>
  <si>
    <t>0.01</t>
  </si>
  <si>
    <t>0.09</t>
  </si>
  <si>
    <t>Educational Imp. Prog. Voted Maximum Portion</t>
  </si>
  <si>
    <t>Ed Improvement Income Surtax Rate</t>
  </si>
  <si>
    <t>Cash Reserve Levy - SBRC</t>
  </si>
  <si>
    <t>92944</t>
  </si>
  <si>
    <t>176634</t>
  </si>
  <si>
    <t>379557</t>
  </si>
  <si>
    <t>Cash Reserve Levy - Other</t>
  </si>
  <si>
    <t>200000</t>
  </si>
  <si>
    <t>Use of Fund Balance to Reduce Levy</t>
  </si>
  <si>
    <t>Uniform Levy Rate</t>
  </si>
  <si>
    <t>District Income Tax Paid % Change</t>
  </si>
  <si>
    <t>-0.13262883740288117</t>
  </si>
  <si>
    <t>-0.0018619823833299532</t>
  </si>
  <si>
    <t>0.034428119671601656</t>
  </si>
  <si>
    <t xml:space="preserve">Uniform Levy C&amp;I State Replace Paid % Change </t>
  </si>
  <si>
    <t>0.9863397548161121</t>
  </si>
  <si>
    <t>0.05995415270675366</t>
  </si>
  <si>
    <t xml:space="preserve">Additional Levy C&amp;I State Replace Paid % Change </t>
  </si>
  <si>
    <t>1.2623052959501557</t>
  </si>
  <si>
    <t>-0.05480583861195263</t>
  </si>
  <si>
    <t>Other Aid and Levy Inputs</t>
  </si>
  <si>
    <t>Estimated Unspent Budget Authority</t>
  </si>
  <si>
    <t>884271</t>
  </si>
  <si>
    <t xml:space="preserve">Allowance for Construction Project by SBRC  </t>
  </si>
  <si>
    <t>Estimated Other Miscellaneous Income</t>
  </si>
  <si>
    <t>684860</t>
  </si>
  <si>
    <t>Please ensure these numbers are positive</t>
  </si>
  <si>
    <t>Instr. Sup Prop &amp; Utl Replace Tax Dollars</t>
  </si>
  <si>
    <t>Ed Impr Prop &amp; Utl Replace Tax Dollars</t>
  </si>
  <si>
    <t>Voted PPEL Levy Tax Dollars</t>
  </si>
  <si>
    <t>Rates</t>
  </si>
  <si>
    <t>Voted PPEL Rate Limit (Maximum 1.34)</t>
  </si>
  <si>
    <t xml:space="preserve">Voted PPEL Income Surtax Rate   </t>
  </si>
  <si>
    <t>Management Levy Dollars</t>
  </si>
  <si>
    <t>100000</t>
  </si>
  <si>
    <t>Amana Library Rate (Not Used)</t>
  </si>
  <si>
    <t>Regular Physical Plant &amp; Equipment Rate</t>
  </si>
  <si>
    <t>0.33</t>
  </si>
  <si>
    <t>0.31869</t>
  </si>
  <si>
    <t>Public Education and Recreation Rate</t>
  </si>
  <si>
    <t>Reorganization Equalization Levy (Not Used)</t>
  </si>
  <si>
    <t>Emergency Levy (for Disaster Recovery) (Not Used)</t>
  </si>
  <si>
    <t>Debt Service Total Dollars to Levy (General Obligation Only)</t>
  </si>
  <si>
    <t>Voted PPEL to Loan Payment</t>
  </si>
  <si>
    <t>Solvency</t>
  </si>
  <si>
    <t>802586.57</t>
  </si>
  <si>
    <t>404153</t>
  </si>
  <si>
    <t>Enter Year Starting TLC</t>
  </si>
  <si>
    <t>Year Starting TLC</t>
  </si>
  <si>
    <t>Maximum Rate - Dropout</t>
  </si>
  <si>
    <t>Max. SBRC Allowable Growth - Dropout</t>
  </si>
  <si>
    <t>Served Enrollment</t>
  </si>
  <si>
    <t>Total Certified</t>
  </si>
  <si>
    <t>546.5</t>
  </si>
  <si>
    <t>528.9</t>
  </si>
  <si>
    <t>516.6</t>
  </si>
  <si>
    <t>GENERAL FUND FTE CHANGE</t>
  </si>
  <si>
    <t>Teacher Regular (121) # Net Change</t>
  </si>
  <si>
    <t>Administration (11x)# Net Change</t>
  </si>
  <si>
    <t>Associates (10x) # Net Change</t>
  </si>
  <si>
    <t>Other Professional (13x) # Net Change</t>
  </si>
  <si>
    <t>Technical (14x) # Net Change</t>
  </si>
  <si>
    <t>Office-Clerical (15x) # Net Change</t>
  </si>
  <si>
    <t>Crafts and Trades (16x) # Net Change</t>
  </si>
  <si>
    <t>Transportation-Service (17x) # Net Change</t>
  </si>
  <si>
    <t>Labor (18x) # Net Change</t>
  </si>
  <si>
    <t>Operations (19x) # Net Change</t>
  </si>
  <si>
    <t>STAFF REPLACEMENT SAVINGS</t>
  </si>
  <si>
    <t>Teacher FTE Leaving/Replacing</t>
  </si>
  <si>
    <t>Teacher Savings per FTE Leaving/Replacing</t>
  </si>
  <si>
    <t>UAB Misc Revenue Addition</t>
  </si>
  <si>
    <t>Aid/Levy</t>
  </si>
  <si>
    <t>Year TLC Starts</t>
  </si>
  <si>
    <t>TLC Added To UAB Misc Rev</t>
  </si>
  <si>
    <t>Additional Row</t>
  </si>
  <si>
    <t>Revenues F10</t>
  </si>
  <si>
    <t>Regular Property Tax</t>
  </si>
  <si>
    <t>Excise taxes - Utility Replacement Tax</t>
  </si>
  <si>
    <t>ISL Property Tax (1114)</t>
  </si>
  <si>
    <t>ISL Surtax</t>
  </si>
  <si>
    <t>Educational Imp Surtax</t>
  </si>
  <si>
    <t>State Foundation Aid</t>
  </si>
  <si>
    <t>State Aid ISL</t>
  </si>
  <si>
    <t>Four-Year Old Pre-School State Aid</t>
  </si>
  <si>
    <t>Teacher Salary Supplement</t>
  </si>
  <si>
    <t>Professional Dev.</t>
  </si>
  <si>
    <t>Iowa Core</t>
  </si>
  <si>
    <t>Early Intervention</t>
  </si>
  <si>
    <t>Teacher Leadsership Compensation</t>
  </si>
  <si>
    <t>Fund::31 Fund 31</t>
  </si>
  <si>
    <t>Percent</t>
  </si>
  <si>
    <t>-1.0</t>
  </si>
  <si>
    <t>1512061981070</t>
  </si>
  <si>
    <t>Expenses</t>
  </si>
  <si>
    <t>Fund::10 General Fund-&gt;Super Detail Project::3376 PROF DEVELOPMENT DAY-PER DIEM</t>
  </si>
  <si>
    <t>Recurring</t>
  </si>
  <si>
    <t>$30,581</t>
  </si>
  <si>
    <t>1512061159471</t>
  </si>
  <si>
    <t>Fund::40 Debt Service Fund-&gt;Detail Object::349 PURCHASED SERVICES-BOND FEES</t>
  </si>
  <si>
    <t>One Time</t>
  </si>
  <si>
    <t>$625,000</t>
  </si>
  <si>
    <t>1512061684578</t>
  </si>
  <si>
    <t>$638,000</t>
  </si>
  <si>
    <t>1512061689989</t>
  </si>
  <si>
    <t>$640,000</t>
  </si>
  <si>
    <t>1512061694366</t>
  </si>
  <si>
    <t>$657,000</t>
  </si>
  <si>
    <t>1512061698741</t>
  </si>
  <si>
    <t>$664,000</t>
  </si>
  <si>
    <t>1512061703907</t>
  </si>
  <si>
    <t>Fund::21 Student Activity Fund</t>
  </si>
  <si>
    <t>$20,256</t>
  </si>
  <si>
    <t>1512061871087</t>
  </si>
  <si>
    <t>Griswold Base Scenario 11-30-17 A</t>
  </si>
  <si>
    <t>11/30/17 5:21 PM</t>
  </si>
  <si>
    <t>Dan Rold</t>
  </si>
  <si>
    <t>Iowa Community School District</t>
  </si>
  <si>
    <t>Iowa Community School District │ Iowa Base Scenario 11-30-17 A</t>
  </si>
  <si>
    <t>GrisIowawold Community School District │ Iowa Base Scenario 11-30-17 A</t>
  </si>
  <si>
    <t>Griswold Community School District│Iowa Base Scenario 11-30-17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</si>
</sst>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#,##0.0"/>
    <numFmt numFmtId="167" formatCode="0.00_);[Red]\(0.00\)"/>
    <numFmt numFmtId="168" formatCode="0.0000"/>
    <numFmt numFmtId="169" formatCode="0.0"/>
    <numFmt numFmtId="170" formatCode="&quot;$&quot;#,##0"/>
    <numFmt numFmtId="171" formatCode="_(&quot;$&quot;* #,##0_);_(&quot;$&quot;* \(#,##0\);_(&quot;$&quot;* &quot;-&quot;??_);_(@_)"/>
    <numFmt numFmtId="177" formatCode="#,##0.0_);[Red]\(#,##0.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8"/>
      <color theme="0"/>
      <name val="Arial"/>
      <family val="2"/>
    </font>
    <font>
      <b/>
      <sz val="12"/>
      <color rgb="FF535555"/>
      <name val="Arial"/>
      <family val="2"/>
    </font>
    <font>
      <b/>
      <sz val="10"/>
      <color theme="0"/>
      <name val="Arial"/>
      <family val="2"/>
    </font>
    <font>
      <b/>
      <sz val="10"/>
      <color rgb="FF535555"/>
      <name val="Arial"/>
      <family val="2"/>
    </font>
    <font>
      <sz val="10"/>
      <color rgb="FF535555"/>
      <name val="Arial"/>
      <family val="2"/>
    </font>
    <font>
      <sz val="11"/>
      <color theme="1"/>
      <name val="Arial"/>
      <family val="2"/>
    </font>
    <font>
      <b/>
      <sz val="22"/>
      <color rgb="FF40315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2"/>
      <color rgb="FF535555"/>
      <name val="Times New Roman"/>
      <family val="1"/>
    </font>
    <font>
      <b/>
      <sz val="12"/>
      <color rgb="FF535555"/>
      <name val="Times New Roman"/>
      <family val="1"/>
    </font>
    <font>
      <b/>
      <sz val="18"/>
      <color rgb="FF659F65"/>
      <name val="Arial"/>
      <family val="2"/>
    </font>
    <font>
      <sz val="10"/>
      <color rgb="FF262729"/>
      <name val="Arial"/>
      <family val="2"/>
    </font>
    <font>
      <b/>
      <sz val="10"/>
      <color rgb="FF262729"/>
      <name val="Arial"/>
      <family val="2"/>
    </font>
    <font>
      <sz val="11"/>
      <color rgb="FF262729"/>
      <name val="Calibri"/>
      <family val="2"/>
      <scheme val="minor"/>
    </font>
    <font>
      <sz val="12"/>
      <color rgb="FF535555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262729"/>
      <name val="Arial"/>
      <family val="2"/>
    </font>
    <font>
      <b/>
      <sz val="12"/>
      <color rgb="FF262729"/>
      <name val="Arial"/>
      <family val="2"/>
    </font>
    <font>
      <sz val="12"/>
      <color indexed="19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262729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717271"/>
        <bgColor indexed="64"/>
      </patternFill>
    </fill>
    <fill>
      <patternFill patternType="solid">
        <fgColor rgb="FF2627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59F65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262729"/>
      </left>
      <right/>
      <top style="thin">
        <color rgb="FF262729"/>
      </top>
      <bottom style="thin">
        <color rgb="FF262729"/>
      </bottom>
      <diagonal/>
    </border>
    <border>
      <left/>
      <right/>
      <top style="thin">
        <color rgb="FF262729"/>
      </top>
      <bottom style="thin">
        <color rgb="FF262729"/>
      </bottom>
      <diagonal/>
    </border>
    <border>
      <left/>
      <right/>
      <top style="thin">
        <color rgb="FF262729"/>
      </top>
      <bottom/>
      <diagonal/>
    </border>
    <border>
      <left style="thin">
        <color rgb="FF262729"/>
      </left>
      <right/>
      <top/>
      <bottom/>
      <diagonal/>
    </border>
    <border>
      <left style="thin">
        <color rgb="FF262729"/>
      </left>
      <right/>
      <top style="thin">
        <color rgb="FF262729"/>
      </top>
      <bottom/>
      <diagonal/>
    </border>
    <border>
      <left/>
      <right style="thin">
        <color rgb="FF262729"/>
      </right>
      <top style="thin">
        <color rgb="FF262729"/>
      </top>
      <bottom/>
      <diagonal/>
    </border>
    <border>
      <left/>
      <right style="thin">
        <color rgb="FF262729"/>
      </right>
      <top/>
      <bottom/>
      <diagonal/>
    </border>
    <border>
      <left style="thin">
        <color rgb="FF262729"/>
      </left>
      <right/>
      <top/>
      <bottom style="thin">
        <color rgb="FF262729"/>
      </bottom>
      <diagonal/>
    </border>
    <border>
      <left/>
      <right/>
      <top/>
      <bottom style="thin">
        <color rgb="FF262729"/>
      </bottom>
      <diagonal/>
    </border>
    <border>
      <left/>
      <right style="thin">
        <color rgb="FF262729"/>
      </right>
      <top/>
      <bottom style="thin">
        <color rgb="FF262729"/>
      </bottom>
      <diagonal/>
    </border>
    <border>
      <left/>
      <right style="thin">
        <color rgb="FF262729"/>
      </right>
      <top style="thin">
        <color rgb="FF262729"/>
      </top>
      <bottom style="thin">
        <color rgb="FF262729"/>
      </bottom>
      <diagonal/>
    </border>
    <border>
      <left style="thin">
        <color rgb="FF262729"/>
      </left>
      <right/>
      <top style="thin">
        <color rgb="FF262729"/>
      </top>
      <bottom style="thin">
        <color indexed="64"/>
      </bottom>
      <diagonal/>
    </border>
    <border>
      <left/>
      <right/>
      <top style="thin">
        <color rgb="FF262729"/>
      </top>
      <bottom style="thin">
        <color indexed="64"/>
      </bottom>
      <diagonal/>
    </border>
    <border>
      <left/>
      <right style="thin">
        <color rgb="FF262729"/>
      </right>
      <top style="thin">
        <color rgb="FF262729"/>
      </top>
      <bottom style="thin">
        <color indexed="64"/>
      </bottom>
      <diagonal/>
    </border>
    <border>
      <left style="thin">
        <color rgb="FF262729"/>
      </left>
      <right style="thin">
        <color rgb="FF262729"/>
      </right>
      <top/>
      <bottom/>
      <diagonal/>
    </border>
    <border>
      <left style="thin">
        <color rgb="FF262729"/>
      </left>
      <right/>
      <top/>
      <bottom style="thin">
        <color auto="1"/>
      </bottom>
      <diagonal/>
    </border>
    <border>
      <left style="thin">
        <color rgb="FF262729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262729"/>
      </right>
      <top style="thin">
        <color indexed="64"/>
      </top>
      <bottom style="thin">
        <color indexed="64"/>
      </bottom>
      <diagonal/>
    </border>
    <border>
      <left style="thin">
        <color rgb="FF262729"/>
      </left>
      <right/>
      <top style="thin">
        <color indexed="64"/>
      </top>
      <bottom/>
      <diagonal/>
    </border>
    <border>
      <left/>
      <right style="thin">
        <color rgb="FF262729"/>
      </right>
      <top style="thin">
        <color indexed="64"/>
      </top>
      <bottom/>
      <diagonal/>
    </border>
    <border>
      <left/>
      <right style="thin">
        <color rgb="FF26272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262729"/>
      </bottom>
      <diagonal/>
    </border>
    <border>
      <left/>
      <right style="thin">
        <color indexed="64"/>
      </right>
      <top/>
      <bottom style="thin">
        <color rgb="FF262729"/>
      </bottom>
      <diagonal/>
    </border>
    <border>
      <left style="thin">
        <color indexed="64"/>
      </left>
      <right/>
      <top style="thin">
        <color rgb="FF262729"/>
      </top>
      <bottom/>
      <diagonal/>
    </border>
    <border>
      <left/>
      <right style="thin">
        <color indexed="64"/>
      </right>
      <top style="thin">
        <color rgb="FF262729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44" fontId="1" fillId="0" borderId="0" applyFont="0" applyFill="0" applyBorder="0" applyAlignment="0" applyProtection="0"/>
  </cellStyleXfs>
  <cellXfs count="51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ill="1"/>
    <xf numFmtId="0" fontId="15" fillId="3" borderId="0" xfId="0" applyFont="1" applyFill="1"/>
    <xf numFmtId="0" fontId="15" fillId="2" borderId="0" xfId="0" applyFont="1" applyFill="1" applyBorder="1"/>
    <xf numFmtId="6" fontId="15" fillId="3" borderId="0" xfId="0" applyNumberFormat="1" applyFont="1" applyFill="1"/>
    <xf numFmtId="0" fontId="12" fillId="5" borderId="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5" fillId="2" borderId="13" xfId="0" applyFont="1" applyFill="1" applyBorder="1"/>
    <xf numFmtId="0" fontId="15" fillId="2" borderId="16" xfId="0" applyFont="1" applyFill="1" applyBorder="1"/>
    <xf numFmtId="0" fontId="14" fillId="2" borderId="13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right" vertical="center"/>
    </xf>
    <xf numFmtId="0" fontId="15" fillId="2" borderId="17" xfId="0" applyFont="1" applyFill="1" applyBorder="1"/>
    <xf numFmtId="0" fontId="15" fillId="2" borderId="18" xfId="0" applyFont="1" applyFill="1" applyBorder="1"/>
    <xf numFmtId="0" fontId="15" fillId="2" borderId="19" xfId="0" applyFont="1" applyFill="1" applyBorder="1"/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5" fillId="2" borderId="14" xfId="0" applyFont="1" applyFill="1" applyBorder="1"/>
    <xf numFmtId="0" fontId="15" fillId="2" borderId="12" xfId="0" applyFont="1" applyFill="1" applyBorder="1"/>
    <xf numFmtId="0" fontId="15" fillId="2" borderId="15" xfId="0" applyFont="1" applyFill="1" applyBorder="1"/>
    <xf numFmtId="0" fontId="0" fillId="8" borderId="0" xfId="0" applyFill="1"/>
    <xf numFmtId="0" fontId="13" fillId="7" borderId="1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vertical="center"/>
    </xf>
    <xf numFmtId="0" fontId="2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16" fillId="2" borderId="14" xfId="0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vertical="center"/>
    </xf>
    <xf numFmtId="0" fontId="0" fillId="0" borderId="0" xfId="0" quotePrefix="1"/>
    <xf numFmtId="38" fontId="0" fillId="0" borderId="0" xfId="0" applyNumberFormat="1"/>
    <xf numFmtId="0" fontId="0" fillId="3" borderId="0" xfId="0" applyFill="1"/>
    <xf numFmtId="0" fontId="21" fillId="3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1" fillId="2" borderId="13" xfId="0" applyFont="1" applyFill="1" applyBorder="1"/>
    <xf numFmtId="0" fontId="21" fillId="2" borderId="0" xfId="0" applyFont="1" applyFill="1" applyBorder="1"/>
    <xf numFmtId="0" fontId="21" fillId="2" borderId="16" xfId="0" applyFont="1" applyFill="1" applyBorder="1"/>
    <xf numFmtId="40" fontId="21" fillId="2" borderId="16" xfId="0" applyNumberFormat="1" applyFont="1" applyFill="1" applyBorder="1"/>
    <xf numFmtId="40" fontId="21" fillId="2" borderId="18" xfId="0" applyNumberFormat="1" applyFont="1" applyFill="1" applyBorder="1"/>
    <xf numFmtId="40" fontId="21" fillId="2" borderId="19" xfId="0" applyNumberFormat="1" applyFont="1" applyFill="1" applyBorder="1"/>
    <xf numFmtId="0" fontId="14" fillId="5" borderId="1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wrapText="1"/>
    </xf>
    <xf numFmtId="10" fontId="21" fillId="3" borderId="0" xfId="0" applyNumberFormat="1" applyFont="1" applyFill="1"/>
    <xf numFmtId="0" fontId="22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3" fillId="2" borderId="13" xfId="0" applyFont="1" applyFill="1" applyBorder="1" applyAlignment="1"/>
    <xf numFmtId="0" fontId="24" fillId="2" borderId="13" xfId="0" applyFont="1" applyFill="1" applyBorder="1" applyAlignment="1"/>
    <xf numFmtId="0" fontId="21" fillId="2" borderId="17" xfId="0" applyFont="1" applyFill="1" applyBorder="1"/>
    <xf numFmtId="0" fontId="21" fillId="2" borderId="18" xfId="0" applyFont="1" applyFill="1" applyBorder="1"/>
    <xf numFmtId="0" fontId="21" fillId="2" borderId="19" xfId="0" applyFont="1" applyFill="1" applyBorder="1"/>
    <xf numFmtId="0" fontId="21" fillId="2" borderId="14" xfId="0" applyFont="1" applyFill="1" applyBorder="1"/>
    <xf numFmtId="0" fontId="21" fillId="2" borderId="12" xfId="0" applyFont="1" applyFill="1" applyBorder="1"/>
    <xf numFmtId="0" fontId="21" fillId="2" borderId="15" xfId="0" applyFont="1" applyFill="1" applyBorder="1"/>
    <xf numFmtId="0" fontId="13" fillId="7" borderId="12" xfId="0" applyFont="1" applyFill="1" applyBorder="1" applyAlignment="1">
      <alignment horizontal="center"/>
    </xf>
    <xf numFmtId="0" fontId="0" fillId="3" borderId="0" xfId="0" applyFill="1" applyAlignment="1"/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2" borderId="16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5" fillId="2" borderId="13" xfId="0" applyFont="1" applyFill="1" applyBorder="1" applyAlignment="1">
      <alignment horizontal="right" vertical="center"/>
    </xf>
    <xf numFmtId="0" fontId="25" fillId="2" borderId="13" xfId="4" applyFont="1" applyFill="1" applyBorder="1" applyAlignment="1" applyProtection="1">
      <alignment horizontal="right" wrapText="1"/>
      <protection locked="0"/>
    </xf>
    <xf numFmtId="0" fontId="0" fillId="2" borderId="17" xfId="0" applyFill="1" applyBorder="1" applyAlignment="1">
      <alignment horizontal="right"/>
    </xf>
    <xf numFmtId="0" fontId="0" fillId="2" borderId="24" xfId="0" applyFill="1" applyBorder="1"/>
    <xf numFmtId="10" fontId="25" fillId="2" borderId="14" xfId="1" applyNumberFormat="1" applyFont="1" applyFill="1" applyBorder="1" applyAlignment="1">
      <alignment horizontal="center"/>
    </xf>
    <xf numFmtId="3" fontId="25" fillId="2" borderId="12" xfId="1" applyNumberFormat="1" applyFont="1" applyFill="1" applyBorder="1" applyAlignment="1">
      <alignment horizontal="center"/>
    </xf>
    <xf numFmtId="3" fontId="25" fillId="2" borderId="15" xfId="1" applyNumberFormat="1" applyFont="1" applyFill="1" applyBorder="1" applyAlignment="1">
      <alignment horizontal="center"/>
    </xf>
    <xf numFmtId="0" fontId="25" fillId="2" borderId="17" xfId="0" applyFont="1" applyFill="1" applyBorder="1" applyAlignment="1">
      <alignment vertical="center"/>
    </xf>
    <xf numFmtId="1" fontId="26" fillId="2" borderId="18" xfId="0" applyNumberFormat="1" applyFont="1" applyFill="1" applyBorder="1" applyAlignment="1">
      <alignment horizontal="center" vertical="center"/>
    </xf>
    <xf numFmtId="1" fontId="26" fillId="2" borderId="19" xfId="0" applyNumberFormat="1" applyFont="1" applyFill="1" applyBorder="1" applyAlignment="1">
      <alignment horizontal="center" vertical="center"/>
    </xf>
    <xf numFmtId="0" fontId="15" fillId="2" borderId="13" xfId="4" applyFont="1" applyFill="1" applyBorder="1" applyAlignment="1" applyProtection="1">
      <alignment horizontal="right" wrapText="1"/>
      <protection locked="0"/>
    </xf>
    <xf numFmtId="167" fontId="15" fillId="2" borderId="0" xfId="4" applyNumberFormat="1" applyFont="1" applyFill="1" applyBorder="1" applyAlignment="1" applyProtection="1">
      <alignment horizontal="center" wrapText="1"/>
      <protection locked="0"/>
    </xf>
    <xf numFmtId="167" fontId="15" fillId="2" borderId="16" xfId="4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Border="1"/>
    <xf numFmtId="0" fontId="28" fillId="2" borderId="0" xfId="0" applyFont="1" applyFill="1" applyBorder="1" applyAlignment="1"/>
    <xf numFmtId="1" fontId="29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168" fontId="28" fillId="2" borderId="0" xfId="0" applyNumberFormat="1" applyFont="1" applyFill="1" applyBorder="1" applyAlignment="1">
      <alignment horizontal="center" vertical="center"/>
    </xf>
    <xf numFmtId="10" fontId="28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3" xfId="0" applyFont="1" applyFill="1" applyBorder="1" applyAlignment="1"/>
    <xf numFmtId="0" fontId="28" fillId="2" borderId="16" xfId="0" applyFont="1" applyFill="1" applyBorder="1" applyAlignment="1"/>
    <xf numFmtId="0" fontId="28" fillId="2" borderId="16" xfId="0" applyFont="1" applyFill="1" applyBorder="1"/>
    <xf numFmtId="0" fontId="28" fillId="2" borderId="13" xfId="0" applyFont="1" applyFill="1" applyBorder="1" applyAlignment="1">
      <alignment horizontal="center" vertical="center"/>
    </xf>
    <xf numFmtId="3" fontId="28" fillId="2" borderId="16" xfId="0" applyNumberFormat="1" applyFont="1" applyFill="1" applyBorder="1" applyAlignment="1">
      <alignment horizontal="center" vertical="center"/>
    </xf>
    <xf numFmtId="0" fontId="30" fillId="2" borderId="17" xfId="0" applyFont="1" applyFill="1" applyBorder="1"/>
    <xf numFmtId="0" fontId="30" fillId="2" borderId="18" xfId="0" applyFont="1" applyFill="1" applyBorder="1"/>
    <xf numFmtId="0" fontId="30" fillId="2" borderId="19" xfId="0" applyFont="1" applyFill="1" applyBorder="1"/>
    <xf numFmtId="1" fontId="29" fillId="2" borderId="13" xfId="0" applyNumberFormat="1" applyFont="1" applyFill="1" applyBorder="1" applyAlignment="1">
      <alignment horizontal="center" vertical="center"/>
    </xf>
    <xf numFmtId="1" fontId="29" fillId="2" borderId="16" xfId="0" applyNumberFormat="1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3" fontId="28" fillId="2" borderId="13" xfId="0" applyNumberFormat="1" applyFont="1" applyFill="1" applyBorder="1" applyAlignment="1">
      <alignment horizontal="center" vertical="center"/>
    </xf>
    <xf numFmtId="168" fontId="28" fillId="2" borderId="13" xfId="0" applyNumberFormat="1" applyFont="1" applyFill="1" applyBorder="1" applyAlignment="1">
      <alignment horizontal="center" vertical="center"/>
    </xf>
    <xf numFmtId="168" fontId="28" fillId="2" borderId="16" xfId="0" applyNumberFormat="1" applyFont="1" applyFill="1" applyBorder="1" applyAlignment="1">
      <alignment horizontal="center" vertical="center"/>
    </xf>
    <xf numFmtId="10" fontId="28" fillId="2" borderId="13" xfId="0" applyNumberFormat="1" applyFont="1" applyFill="1" applyBorder="1" applyAlignment="1">
      <alignment horizontal="center" vertical="center"/>
    </xf>
    <xf numFmtId="10" fontId="28" fillId="2" borderId="16" xfId="0" applyNumberFormat="1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right" vertical="center"/>
    </xf>
    <xf numFmtId="0" fontId="0" fillId="3" borderId="0" xfId="0" applyFill="1" applyAlignment="1">
      <alignment vertical="top"/>
    </xf>
    <xf numFmtId="0" fontId="9" fillId="3" borderId="0" xfId="5" applyFont="1" applyFill="1" applyBorder="1" applyAlignment="1">
      <alignment vertical="center" wrapText="1"/>
    </xf>
    <xf numFmtId="171" fontId="9" fillId="3" borderId="0" xfId="6" applyNumberFormat="1" applyFont="1" applyFill="1" applyBorder="1" applyAlignment="1">
      <alignment horizontal="center" vertical="center"/>
    </xf>
    <xf numFmtId="0" fontId="29" fillId="2" borderId="13" xfId="5" applyFont="1" applyFill="1" applyBorder="1" applyAlignment="1">
      <alignment horizontal="center" vertical="center"/>
    </xf>
    <xf numFmtId="0" fontId="29" fillId="2" borderId="0" xfId="5" applyFont="1" applyFill="1" applyBorder="1" applyAlignment="1">
      <alignment horizontal="center" vertical="center"/>
    </xf>
    <xf numFmtId="0" fontId="29" fillId="2" borderId="16" xfId="5" applyFont="1" applyFill="1" applyBorder="1" applyAlignment="1">
      <alignment horizontal="center" vertical="center"/>
    </xf>
    <xf numFmtId="0" fontId="28" fillId="2" borderId="17" xfId="5" applyFont="1" applyFill="1" applyBorder="1" applyAlignment="1">
      <alignment vertical="center" wrapText="1"/>
    </xf>
    <xf numFmtId="171" fontId="28" fillId="2" borderId="18" xfId="6" applyNumberFormat="1" applyFont="1" applyFill="1" applyBorder="1" applyAlignment="1">
      <alignment horizontal="center" vertical="center"/>
    </xf>
    <xf numFmtId="0" fontId="28" fillId="2" borderId="19" xfId="0" applyFont="1" applyFill="1" applyBorder="1"/>
    <xf numFmtId="10" fontId="9" fillId="2" borderId="0" xfId="5" applyNumberFormat="1" applyFont="1" applyFill="1" applyBorder="1" applyAlignment="1">
      <alignment horizontal="center" vertical="center"/>
    </xf>
    <xf numFmtId="0" fontId="9" fillId="2" borderId="14" xfId="5" applyFont="1" applyFill="1" applyBorder="1" applyAlignment="1">
      <alignment vertical="center" wrapText="1"/>
    </xf>
    <xf numFmtId="10" fontId="9" fillId="2" borderId="12" xfId="5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9" fillId="2" borderId="13" xfId="5" applyFont="1" applyFill="1" applyBorder="1" applyAlignment="1">
      <alignment vertical="center" wrapText="1"/>
    </xf>
    <xf numFmtId="0" fontId="21" fillId="2" borderId="18" xfId="0" applyFont="1" applyFill="1" applyBorder="1" applyAlignment="1">
      <alignment wrapText="1"/>
    </xf>
    <xf numFmtId="0" fontId="31" fillId="2" borderId="13" xfId="0" applyFont="1" applyFill="1" applyBorder="1"/>
    <xf numFmtId="0" fontId="31" fillId="2" borderId="16" xfId="0" applyFont="1" applyFill="1" applyBorder="1"/>
    <xf numFmtId="0" fontId="12" fillId="2" borderId="13" xfId="0" applyFont="1" applyFill="1" applyBorder="1" applyAlignment="1">
      <alignment horizontal="right"/>
    </xf>
    <xf numFmtId="0" fontId="32" fillId="6" borderId="17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 wrapText="1"/>
    </xf>
    <xf numFmtId="0" fontId="32" fillId="7" borderId="18" xfId="0" applyFont="1" applyFill="1" applyBorder="1" applyAlignment="1">
      <alignment horizontal="center" vertical="center"/>
    </xf>
    <xf numFmtId="0" fontId="32" fillId="7" borderId="19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 wrapText="1"/>
    </xf>
    <xf numFmtId="0" fontId="31" fillId="2" borderId="17" xfId="0" applyFont="1" applyFill="1" applyBorder="1"/>
    <xf numFmtId="0" fontId="31" fillId="2" borderId="18" xfId="0" applyFont="1" applyFill="1" applyBorder="1"/>
    <xf numFmtId="0" fontId="31" fillId="2" borderId="19" xfId="0" applyFont="1" applyFill="1" applyBorder="1"/>
    <xf numFmtId="0" fontId="33" fillId="2" borderId="13" xfId="0" applyFont="1" applyFill="1" applyBorder="1"/>
    <xf numFmtId="0" fontId="33" fillId="2" borderId="16" xfId="0" applyFont="1" applyFill="1" applyBorder="1"/>
    <xf numFmtId="0" fontId="34" fillId="2" borderId="13" xfId="0" applyFont="1" applyFill="1" applyBorder="1" applyAlignment="1">
      <alignment horizontal="right"/>
    </xf>
    <xf numFmtId="0" fontId="33" fillId="2" borderId="0" xfId="0" applyFont="1" applyFill="1" applyBorder="1"/>
    <xf numFmtId="0" fontId="33" fillId="2" borderId="13" xfId="0" applyFont="1" applyFill="1" applyBorder="1" applyAlignment="1">
      <alignment horizontal="right"/>
    </xf>
    <xf numFmtId="0" fontId="33" fillId="2" borderId="0" xfId="0" applyFont="1" applyFill="1" applyBorder="1" applyAlignment="1">
      <alignment shrinkToFit="1"/>
    </xf>
    <xf numFmtId="0" fontId="33" fillId="2" borderId="16" xfId="0" applyFont="1" applyFill="1" applyBorder="1" applyAlignment="1">
      <alignment shrinkToFit="1"/>
    </xf>
    <xf numFmtId="170" fontId="34" fillId="2" borderId="10" xfId="0" applyNumberFormat="1" applyFont="1" applyFill="1" applyBorder="1" applyAlignment="1">
      <alignment vertical="center" shrinkToFit="1"/>
    </xf>
    <xf numFmtId="170" fontId="34" fillId="2" borderId="11" xfId="0" applyNumberFormat="1" applyFont="1" applyFill="1" applyBorder="1" applyAlignment="1">
      <alignment vertical="center" shrinkToFit="1"/>
    </xf>
    <xf numFmtId="0" fontId="33" fillId="2" borderId="13" xfId="0" applyFont="1" applyFill="1" applyBorder="1" applyAlignment="1">
      <alignment shrinkToFit="1"/>
    </xf>
    <xf numFmtId="0" fontId="34" fillId="2" borderId="13" xfId="0" applyFont="1" applyFill="1" applyBorder="1" applyAlignment="1">
      <alignment horizontal="right" vertical="center"/>
    </xf>
    <xf numFmtId="0" fontId="33" fillId="2" borderId="13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16" xfId="0" applyFont="1" applyFill="1" applyBorder="1" applyAlignment="1">
      <alignment vertical="center"/>
    </xf>
    <xf numFmtId="0" fontId="33" fillId="2" borderId="13" xfId="0" applyFont="1" applyFill="1" applyBorder="1" applyAlignment="1">
      <alignment horizontal="right" vertical="center"/>
    </xf>
    <xf numFmtId="6" fontId="33" fillId="2" borderId="13" xfId="0" applyNumberFormat="1" applyFont="1" applyFill="1" applyBorder="1" applyAlignment="1">
      <alignment vertical="center" shrinkToFit="1"/>
    </xf>
    <xf numFmtId="6" fontId="33" fillId="2" borderId="0" xfId="0" applyNumberFormat="1" applyFont="1" applyFill="1" applyBorder="1" applyAlignment="1">
      <alignment vertical="center" shrinkToFit="1"/>
    </xf>
    <xf numFmtId="10" fontId="33" fillId="2" borderId="0" xfId="0" applyNumberFormat="1" applyFont="1" applyFill="1" applyBorder="1" applyAlignment="1">
      <alignment vertical="center" shrinkToFit="1"/>
    </xf>
    <xf numFmtId="10" fontId="33" fillId="2" borderId="16" xfId="1" applyNumberFormat="1" applyFont="1" applyFill="1" applyBorder="1" applyAlignment="1">
      <alignment vertical="center" shrinkToFit="1"/>
    </xf>
    <xf numFmtId="6" fontId="34" fillId="2" borderId="10" xfId="0" applyNumberFormat="1" applyFont="1" applyFill="1" applyBorder="1" applyAlignment="1">
      <alignment vertical="center" shrinkToFit="1"/>
    </xf>
    <xf numFmtId="6" fontId="34" fillId="2" borderId="11" xfId="0" applyNumberFormat="1" applyFont="1" applyFill="1" applyBorder="1" applyAlignment="1">
      <alignment vertical="center" shrinkToFit="1"/>
    </xf>
    <xf numFmtId="10" fontId="33" fillId="2" borderId="11" xfId="0" applyNumberFormat="1" applyFont="1" applyFill="1" applyBorder="1" applyAlignment="1">
      <alignment vertical="center" shrinkToFit="1"/>
    </xf>
    <xf numFmtId="10" fontId="33" fillId="2" borderId="20" xfId="0" applyNumberFormat="1" applyFont="1" applyFill="1" applyBorder="1" applyAlignment="1">
      <alignment vertical="center" shrinkToFit="1"/>
    </xf>
    <xf numFmtId="10" fontId="33" fillId="2" borderId="16" xfId="0" applyNumberFormat="1" applyFont="1" applyFill="1" applyBorder="1" applyAlignment="1">
      <alignment vertical="center" shrinkToFit="1"/>
    </xf>
    <xf numFmtId="6" fontId="34" fillId="2" borderId="13" xfId="0" applyNumberFormat="1" applyFont="1" applyFill="1" applyBorder="1" applyAlignment="1">
      <alignment horizontal="right" vertical="center" shrinkToFit="1"/>
    </xf>
    <xf numFmtId="6" fontId="34" fillId="2" borderId="0" xfId="0" applyNumberFormat="1" applyFont="1" applyFill="1" applyBorder="1" applyAlignment="1">
      <alignment horizontal="right" vertical="center" shrinkToFit="1"/>
    </xf>
    <xf numFmtId="0" fontId="34" fillId="2" borderId="0" xfId="0" applyFont="1" applyFill="1" applyBorder="1" applyAlignment="1">
      <alignment horizontal="right" vertical="center" shrinkToFit="1"/>
    </xf>
    <xf numFmtId="0" fontId="34" fillId="2" borderId="16" xfId="0" applyFont="1" applyFill="1" applyBorder="1" applyAlignment="1">
      <alignment horizontal="right" vertical="center" shrinkToFit="1"/>
    </xf>
    <xf numFmtId="10" fontId="34" fillId="2" borderId="11" xfId="0" applyNumberFormat="1" applyFont="1" applyFill="1" applyBorder="1" applyAlignment="1">
      <alignment vertical="center" shrinkToFit="1"/>
    </xf>
    <xf numFmtId="0" fontId="33" fillId="2" borderId="20" xfId="0" applyFont="1" applyFill="1" applyBorder="1" applyAlignment="1">
      <alignment horizontal="center" vertical="center" shrinkToFit="1"/>
    </xf>
    <xf numFmtId="6" fontId="33" fillId="2" borderId="13" xfId="0" applyNumberFormat="1" applyFont="1" applyFill="1" applyBorder="1" applyAlignment="1">
      <alignment shrinkToFit="1"/>
    </xf>
    <xf numFmtId="6" fontId="33" fillId="2" borderId="0" xfId="0" applyNumberFormat="1" applyFont="1" applyFill="1" applyBorder="1" applyAlignment="1">
      <alignment shrinkToFit="1"/>
    </xf>
    <xf numFmtId="10" fontId="34" fillId="2" borderId="20" xfId="0" applyNumberFormat="1" applyFont="1" applyFill="1" applyBorder="1" applyAlignment="1">
      <alignment vertical="center" shrinkToFit="1"/>
    </xf>
    <xf numFmtId="0" fontId="33" fillId="2" borderId="0" xfId="0" applyFont="1" applyFill="1" applyBorder="1" applyAlignment="1">
      <alignment vertical="center" shrinkToFit="1"/>
    </xf>
    <xf numFmtId="0" fontId="33" fillId="2" borderId="16" xfId="0" applyFont="1" applyFill="1" applyBorder="1" applyAlignment="1">
      <alignment vertical="center" shrinkToFit="1"/>
    </xf>
    <xf numFmtId="5" fontId="34" fillId="2" borderId="11" xfId="0" applyNumberFormat="1" applyFont="1" applyFill="1" applyBorder="1" applyAlignment="1">
      <alignment vertical="center" shrinkToFit="1"/>
    </xf>
    <xf numFmtId="10" fontId="34" fillId="2" borderId="13" xfId="0" applyNumberFormat="1" applyFont="1" applyFill="1" applyBorder="1" applyAlignment="1">
      <alignment vertical="center" shrinkToFit="1"/>
    </xf>
    <xf numFmtId="10" fontId="34" fillId="2" borderId="0" xfId="0" applyNumberFormat="1" applyFont="1" applyFill="1" applyBorder="1" applyAlignment="1">
      <alignment vertical="center" shrinkToFit="1"/>
    </xf>
    <xf numFmtId="40" fontId="34" fillId="2" borderId="17" xfId="0" applyNumberFormat="1" applyFont="1" applyFill="1" applyBorder="1" applyAlignment="1">
      <alignment vertical="center" shrinkToFit="1"/>
    </xf>
    <xf numFmtId="40" fontId="34" fillId="2" borderId="18" xfId="0" applyNumberFormat="1" applyFont="1" applyFill="1" applyBorder="1" applyAlignment="1">
      <alignment vertical="center" shrinkToFit="1"/>
    </xf>
    <xf numFmtId="0" fontId="33" fillId="2" borderId="18" xfId="0" applyFont="1" applyFill="1" applyBorder="1" applyAlignment="1">
      <alignment vertical="center" shrinkToFit="1"/>
    </xf>
    <xf numFmtId="10" fontId="34" fillId="2" borderId="19" xfId="0" applyNumberFormat="1" applyFont="1" applyFill="1" applyBorder="1" applyAlignment="1">
      <alignment vertical="center" shrinkToFit="1"/>
    </xf>
    <xf numFmtId="0" fontId="35" fillId="2" borderId="13" xfId="0" applyFont="1" applyFill="1" applyBorder="1"/>
    <xf numFmtId="0" fontId="32" fillId="6" borderId="0" xfId="0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right"/>
    </xf>
    <xf numFmtId="0" fontId="33" fillId="2" borderId="12" xfId="0" applyFont="1" applyFill="1" applyBorder="1"/>
    <xf numFmtId="0" fontId="33" fillId="2" borderId="13" xfId="0" applyFont="1" applyFill="1" applyBorder="1" applyAlignment="1">
      <alignment horizontal="right" wrapText="1"/>
    </xf>
    <xf numFmtId="38" fontId="33" fillId="2" borderId="0" xfId="0" applyNumberFormat="1" applyFont="1" applyFill="1" applyBorder="1" applyAlignment="1">
      <alignment horizontal="right" wrapText="1"/>
    </xf>
    <xf numFmtId="38" fontId="33" fillId="2" borderId="0" xfId="0" applyNumberFormat="1" applyFont="1" applyFill="1" applyBorder="1"/>
    <xf numFmtId="40" fontId="34" fillId="2" borderId="14" xfId="0" applyNumberFormat="1" applyFont="1" applyFill="1" applyBorder="1" applyAlignment="1">
      <alignment horizontal="center" vertical="center"/>
    </xf>
    <xf numFmtId="40" fontId="34" fillId="2" borderId="12" xfId="0" applyNumberFormat="1" applyFont="1" applyFill="1" applyBorder="1" applyAlignment="1">
      <alignment horizontal="center" vertical="center"/>
    </xf>
    <xf numFmtId="40" fontId="34" fillId="2" borderId="15" xfId="0" applyNumberFormat="1" applyFont="1" applyFill="1" applyBorder="1" applyAlignment="1">
      <alignment horizontal="center" vertical="center"/>
    </xf>
    <xf numFmtId="40" fontId="33" fillId="2" borderId="17" xfId="6" applyNumberFormat="1" applyFont="1" applyFill="1" applyBorder="1" applyAlignment="1">
      <alignment horizontal="center" vertical="center"/>
    </xf>
    <xf numFmtId="40" fontId="33" fillId="2" borderId="18" xfId="6" applyNumberFormat="1" applyFont="1" applyFill="1" applyBorder="1" applyAlignment="1">
      <alignment horizontal="center" vertical="center"/>
    </xf>
    <xf numFmtId="40" fontId="33" fillId="2" borderId="19" xfId="6" applyNumberFormat="1" applyFont="1" applyFill="1" applyBorder="1" applyAlignment="1">
      <alignment horizontal="center" vertical="center"/>
    </xf>
    <xf numFmtId="40" fontId="33" fillId="2" borderId="17" xfId="6" applyNumberFormat="1" applyFont="1" applyFill="1" applyBorder="1" applyAlignment="1">
      <alignment vertical="center"/>
    </xf>
    <xf numFmtId="40" fontId="33" fillId="2" borderId="18" xfId="6" applyNumberFormat="1" applyFont="1" applyFill="1" applyBorder="1" applyAlignment="1">
      <alignment vertical="center"/>
    </xf>
    <xf numFmtId="40" fontId="33" fillId="2" borderId="19" xfId="6" applyNumberFormat="1" applyFont="1" applyFill="1" applyBorder="1" applyAlignment="1">
      <alignment vertical="center"/>
    </xf>
    <xf numFmtId="40" fontId="33" fillId="2" borderId="13" xfId="6" applyNumberFormat="1" applyFont="1" applyFill="1" applyBorder="1" applyAlignment="1">
      <alignment vertical="center"/>
    </xf>
    <xf numFmtId="40" fontId="33" fillId="2" borderId="0" xfId="6" applyNumberFormat="1" applyFont="1" applyFill="1" applyBorder="1" applyAlignment="1">
      <alignment vertical="center"/>
    </xf>
    <xf numFmtId="40" fontId="33" fillId="2" borderId="16" xfId="6" applyNumberFormat="1" applyFont="1" applyFill="1" applyBorder="1" applyAlignment="1">
      <alignment vertical="center"/>
    </xf>
    <xf numFmtId="40" fontId="34" fillId="2" borderId="17" xfId="6" applyNumberFormat="1" applyFont="1" applyFill="1" applyBorder="1" applyAlignment="1">
      <alignment vertical="center"/>
    </xf>
    <xf numFmtId="40" fontId="34" fillId="2" borderId="18" xfId="6" applyNumberFormat="1" applyFont="1" applyFill="1" applyBorder="1" applyAlignment="1">
      <alignment vertical="center"/>
    </xf>
    <xf numFmtId="40" fontId="34" fillId="2" borderId="19" xfId="6" applyNumberFormat="1" applyFont="1" applyFill="1" applyBorder="1" applyAlignment="1">
      <alignment vertical="center"/>
    </xf>
    <xf numFmtId="40" fontId="34" fillId="2" borderId="10" xfId="6" applyNumberFormat="1" applyFont="1" applyFill="1" applyBorder="1" applyAlignment="1">
      <alignment vertical="center"/>
    </xf>
    <xf numFmtId="40" fontId="34" fillId="2" borderId="11" xfId="6" applyNumberFormat="1" applyFont="1" applyFill="1" applyBorder="1" applyAlignment="1">
      <alignment vertical="center"/>
    </xf>
    <xf numFmtId="40" fontId="34" fillId="2" borderId="20" xfId="6" applyNumberFormat="1" applyFont="1" applyFill="1" applyBorder="1" applyAlignment="1">
      <alignment vertical="center"/>
    </xf>
    <xf numFmtId="40" fontId="34" fillId="2" borderId="21" xfId="6" applyNumberFormat="1" applyFont="1" applyFill="1" applyBorder="1" applyAlignment="1">
      <alignment vertical="center"/>
    </xf>
    <xf numFmtId="40" fontId="34" fillId="2" borderId="22" xfId="6" applyNumberFormat="1" applyFont="1" applyFill="1" applyBorder="1" applyAlignment="1">
      <alignment vertical="center"/>
    </xf>
    <xf numFmtId="40" fontId="34" fillId="2" borderId="23" xfId="6" applyNumberFormat="1" applyFont="1" applyFill="1" applyBorder="1" applyAlignment="1">
      <alignment vertical="center"/>
    </xf>
    <xf numFmtId="40" fontId="34" fillId="2" borderId="16" xfId="6" applyNumberFormat="1" applyFont="1" applyFill="1" applyBorder="1" applyAlignment="1">
      <alignment vertical="center"/>
    </xf>
    <xf numFmtId="38" fontId="34" fillId="2" borderId="10" xfId="6" applyNumberFormat="1" applyFont="1" applyFill="1" applyBorder="1" applyAlignment="1">
      <alignment vertical="center"/>
    </xf>
    <xf numFmtId="38" fontId="34" fillId="2" borderId="11" xfId="6" applyNumberFormat="1" applyFont="1" applyFill="1" applyBorder="1" applyAlignment="1">
      <alignment vertical="center"/>
    </xf>
    <xf numFmtId="38" fontId="34" fillId="2" borderId="20" xfId="6" applyNumberFormat="1" applyFont="1" applyFill="1" applyBorder="1" applyAlignment="1">
      <alignment vertical="center"/>
    </xf>
    <xf numFmtId="38" fontId="34" fillId="2" borderId="16" xfId="6" applyNumberFormat="1" applyFont="1" applyFill="1" applyBorder="1" applyAlignment="1">
      <alignment vertical="center"/>
    </xf>
    <xf numFmtId="38" fontId="34" fillId="2" borderId="13" xfId="6" applyNumberFormat="1" applyFont="1" applyFill="1" applyBorder="1" applyAlignment="1">
      <alignment vertical="center"/>
    </xf>
    <xf numFmtId="38" fontId="34" fillId="2" borderId="0" xfId="6" applyNumberFormat="1" applyFont="1" applyFill="1" applyBorder="1" applyAlignment="1">
      <alignment vertical="center"/>
    </xf>
    <xf numFmtId="10" fontId="33" fillId="2" borderId="17" xfId="1" applyNumberFormat="1" applyFont="1" applyFill="1" applyBorder="1" applyAlignment="1">
      <alignment vertical="center"/>
    </xf>
    <xf numFmtId="10" fontId="33" fillId="2" borderId="18" xfId="1" applyNumberFormat="1" applyFont="1" applyFill="1" applyBorder="1" applyAlignment="1">
      <alignment vertical="center"/>
    </xf>
    <xf numFmtId="10" fontId="33" fillId="2" borderId="19" xfId="1" applyNumberFormat="1" applyFont="1" applyFill="1" applyBorder="1" applyAlignment="1">
      <alignment vertical="center"/>
    </xf>
    <xf numFmtId="0" fontId="33" fillId="2" borderId="17" xfId="0" applyFont="1" applyFill="1" applyBorder="1" applyAlignment="1">
      <alignment horizontal="right" vertical="center"/>
    </xf>
    <xf numFmtId="0" fontId="33" fillId="2" borderId="18" xfId="0" applyFont="1" applyFill="1" applyBorder="1" applyAlignment="1">
      <alignment vertical="center"/>
    </xf>
    <xf numFmtId="0" fontId="33" fillId="2" borderId="19" xfId="0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168" fontId="33" fillId="2" borderId="13" xfId="0" applyNumberFormat="1" applyFont="1" applyFill="1" applyBorder="1" applyAlignment="1">
      <alignment horizontal="right"/>
    </xf>
    <xf numFmtId="168" fontId="33" fillId="2" borderId="0" xfId="0" applyNumberFormat="1" applyFont="1" applyFill="1" applyBorder="1" applyAlignment="1">
      <alignment horizontal="right"/>
    </xf>
    <xf numFmtId="168" fontId="33" fillId="2" borderId="16" xfId="0" applyNumberFormat="1" applyFont="1" applyFill="1" applyBorder="1" applyAlignment="1">
      <alignment horizontal="right"/>
    </xf>
    <xf numFmtId="168" fontId="34" fillId="2" borderId="26" xfId="0" applyNumberFormat="1" applyFont="1" applyFill="1" applyBorder="1" applyAlignment="1">
      <alignment horizontal="right" vertical="center"/>
    </xf>
    <xf numFmtId="168" fontId="34" fillId="2" borderId="7" xfId="0" applyNumberFormat="1" applyFont="1" applyFill="1" applyBorder="1" applyAlignment="1">
      <alignment horizontal="right" vertical="center"/>
    </xf>
    <xf numFmtId="168" fontId="34" fillId="2" borderId="27" xfId="0" applyNumberFormat="1" applyFont="1" applyFill="1" applyBorder="1" applyAlignment="1">
      <alignment horizontal="right" vertical="center"/>
    </xf>
    <xf numFmtId="6" fontId="33" fillId="2" borderId="13" xfId="0" applyNumberFormat="1" applyFont="1" applyFill="1" applyBorder="1" applyAlignment="1">
      <alignment vertical="center"/>
    </xf>
    <xf numFmtId="6" fontId="33" fillId="2" borderId="0" xfId="0" applyNumberFormat="1" applyFont="1" applyFill="1" applyBorder="1" applyAlignment="1">
      <alignment vertical="center"/>
    </xf>
    <xf numFmtId="10" fontId="33" fillId="2" borderId="13" xfId="0" applyNumberFormat="1" applyFont="1" applyFill="1" applyBorder="1" applyAlignment="1">
      <alignment horizontal="right"/>
    </xf>
    <xf numFmtId="10" fontId="33" fillId="2" borderId="0" xfId="0" applyNumberFormat="1" applyFont="1" applyFill="1" applyBorder="1" applyAlignment="1">
      <alignment horizontal="right"/>
    </xf>
    <xf numFmtId="10" fontId="33" fillId="2" borderId="0" xfId="1" applyNumberFormat="1" applyFont="1" applyFill="1" applyBorder="1" applyAlignment="1">
      <alignment horizontal="right"/>
    </xf>
    <xf numFmtId="10" fontId="33" fillId="2" borderId="16" xfId="0" applyNumberFormat="1" applyFont="1" applyFill="1" applyBorder="1" applyAlignment="1">
      <alignment horizontal="right"/>
    </xf>
    <xf numFmtId="38" fontId="33" fillId="2" borderId="25" xfId="0" applyNumberFormat="1" applyFont="1" applyFill="1" applyBorder="1" applyAlignment="1">
      <alignment horizontal="right"/>
    </xf>
    <xf numFmtId="38" fontId="33" fillId="2" borderId="6" xfId="0" applyNumberFormat="1" applyFont="1" applyFill="1" applyBorder="1" applyAlignment="1">
      <alignment horizontal="right"/>
    </xf>
    <xf numFmtId="38" fontId="33" fillId="2" borderId="30" xfId="0" applyNumberFormat="1" applyFont="1" applyFill="1" applyBorder="1" applyAlignment="1">
      <alignment horizontal="right"/>
    </xf>
    <xf numFmtId="165" fontId="33" fillId="2" borderId="13" xfId="0" applyNumberFormat="1" applyFont="1" applyFill="1" applyBorder="1" applyAlignment="1">
      <alignment horizontal="right"/>
    </xf>
    <xf numFmtId="165" fontId="33" fillId="2" borderId="0" xfId="0" applyNumberFormat="1" applyFont="1" applyFill="1" applyBorder="1" applyAlignment="1">
      <alignment horizontal="right"/>
    </xf>
    <xf numFmtId="10" fontId="33" fillId="2" borderId="28" xfId="0" applyNumberFormat="1" applyFont="1" applyFill="1" applyBorder="1" applyAlignment="1">
      <alignment horizontal="right"/>
    </xf>
    <xf numFmtId="10" fontId="33" fillId="2" borderId="3" xfId="0" applyNumberFormat="1" applyFont="1" applyFill="1" applyBorder="1" applyAlignment="1">
      <alignment horizontal="right"/>
    </xf>
    <xf numFmtId="10" fontId="33" fillId="2" borderId="29" xfId="0" applyNumberFormat="1" applyFont="1" applyFill="1" applyBorder="1" applyAlignment="1">
      <alignment horizontal="right"/>
    </xf>
    <xf numFmtId="10" fontId="33" fillId="2" borderId="28" xfId="1" applyNumberFormat="1" applyFont="1" applyFill="1" applyBorder="1" applyAlignment="1">
      <alignment horizontal="right"/>
    </xf>
    <xf numFmtId="10" fontId="33" fillId="2" borderId="3" xfId="1" applyNumberFormat="1" applyFont="1" applyFill="1" applyBorder="1" applyAlignment="1">
      <alignment horizontal="right"/>
    </xf>
    <xf numFmtId="10" fontId="33" fillId="2" borderId="29" xfId="1" applyNumberFormat="1" applyFont="1" applyFill="1" applyBorder="1" applyAlignment="1">
      <alignment horizontal="right"/>
    </xf>
    <xf numFmtId="165" fontId="34" fillId="2" borderId="25" xfId="0" applyNumberFormat="1" applyFont="1" applyFill="1" applyBorder="1" applyAlignment="1">
      <alignment horizontal="right" vertical="center"/>
    </xf>
    <xf numFmtId="165" fontId="34" fillId="2" borderId="6" xfId="0" applyNumberFormat="1" applyFont="1" applyFill="1" applyBorder="1" applyAlignment="1">
      <alignment horizontal="right" vertical="center"/>
    </xf>
    <xf numFmtId="10" fontId="34" fillId="2" borderId="13" xfId="0" applyNumberFormat="1" applyFont="1" applyFill="1" applyBorder="1" applyAlignment="1">
      <alignment vertical="center"/>
    </xf>
    <xf numFmtId="10" fontId="34" fillId="2" borderId="0" xfId="0" applyNumberFormat="1" applyFont="1" applyFill="1" applyBorder="1" applyAlignment="1">
      <alignment vertical="center"/>
    </xf>
    <xf numFmtId="10" fontId="34" fillId="2" borderId="29" xfId="0" applyNumberFormat="1" applyFont="1" applyFill="1" applyBorder="1" applyAlignment="1">
      <alignment vertical="center"/>
    </xf>
    <xf numFmtId="38" fontId="34" fillId="2" borderId="17" xfId="0" applyNumberFormat="1" applyFont="1" applyFill="1" applyBorder="1" applyAlignment="1">
      <alignment vertical="center"/>
    </xf>
    <xf numFmtId="38" fontId="34" fillId="2" borderId="18" xfId="0" applyNumberFormat="1" applyFont="1" applyFill="1" applyBorder="1" applyAlignment="1">
      <alignment vertical="center"/>
    </xf>
    <xf numFmtId="38" fontId="34" fillId="2" borderId="19" xfId="0" applyNumberFormat="1" applyFont="1" applyFill="1" applyBorder="1" applyAlignment="1">
      <alignment vertical="center"/>
    </xf>
    <xf numFmtId="38" fontId="37" fillId="2" borderId="1" xfId="0" applyNumberFormat="1" applyFont="1" applyFill="1" applyBorder="1" applyAlignment="1">
      <alignment vertical="center"/>
    </xf>
    <xf numFmtId="1" fontId="34" fillId="2" borderId="13" xfId="0" applyNumberFormat="1" applyFont="1" applyFill="1" applyBorder="1" applyAlignment="1">
      <alignment horizontal="center" vertical="center"/>
    </xf>
    <xf numFmtId="1" fontId="34" fillId="2" borderId="0" xfId="0" applyNumberFormat="1" applyFont="1" applyFill="1" applyBorder="1" applyAlignment="1">
      <alignment horizontal="center" vertical="center"/>
    </xf>
    <xf numFmtId="1" fontId="34" fillId="2" borderId="16" xfId="0" applyNumberFormat="1" applyFont="1" applyFill="1" applyBorder="1" applyAlignment="1">
      <alignment horizontal="center" vertical="center"/>
    </xf>
    <xf numFmtId="166" fontId="33" fillId="2" borderId="13" xfId="0" applyNumberFormat="1" applyFont="1" applyFill="1" applyBorder="1" applyAlignment="1">
      <alignment horizontal="center" vertical="center"/>
    </xf>
    <xf numFmtId="166" fontId="33" fillId="2" borderId="0" xfId="0" applyNumberFormat="1" applyFont="1" applyFill="1" applyBorder="1" applyAlignment="1">
      <alignment horizontal="center" vertical="center"/>
    </xf>
    <xf numFmtId="166" fontId="33" fillId="2" borderId="16" xfId="0" applyNumberFormat="1" applyFont="1" applyFill="1" applyBorder="1" applyAlignment="1">
      <alignment horizontal="center" vertical="center"/>
    </xf>
    <xf numFmtId="10" fontId="33" fillId="2" borderId="13" xfId="1" applyNumberFormat="1" applyFont="1" applyFill="1" applyBorder="1" applyAlignment="1">
      <alignment horizontal="center" vertical="center"/>
    </xf>
    <xf numFmtId="10" fontId="33" fillId="2" borderId="0" xfId="1" applyNumberFormat="1" applyFont="1" applyFill="1" applyBorder="1" applyAlignment="1">
      <alignment horizontal="center" vertical="center"/>
    </xf>
    <xf numFmtId="10" fontId="33" fillId="2" borderId="16" xfId="1" applyNumberFormat="1" applyFont="1" applyFill="1" applyBorder="1" applyAlignment="1">
      <alignment horizontal="center" vertical="center"/>
    </xf>
    <xf numFmtId="3" fontId="33" fillId="2" borderId="13" xfId="0" applyNumberFormat="1" applyFont="1" applyFill="1" applyBorder="1" applyAlignment="1">
      <alignment horizontal="center" vertical="center"/>
    </xf>
    <xf numFmtId="3" fontId="33" fillId="2" borderId="0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 applyAlignment="1">
      <alignment horizontal="center" vertical="center"/>
    </xf>
    <xf numFmtId="4" fontId="33" fillId="2" borderId="0" xfId="0" applyNumberFormat="1" applyFont="1" applyFill="1" applyBorder="1" applyAlignment="1">
      <alignment horizontal="center" vertical="center"/>
    </xf>
    <xf numFmtId="4" fontId="33" fillId="2" borderId="16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 applyProtection="1">
      <alignment horizontal="right"/>
      <protection locked="0"/>
    </xf>
    <xf numFmtId="10" fontId="33" fillId="2" borderId="13" xfId="0" applyNumberFormat="1" applyFont="1" applyFill="1" applyBorder="1" applyAlignment="1">
      <alignment horizontal="center"/>
    </xf>
    <xf numFmtId="10" fontId="33" fillId="2" borderId="0" xfId="0" applyNumberFormat="1" applyFont="1" applyFill="1" applyBorder="1" applyAlignment="1">
      <alignment horizontal="center"/>
    </xf>
    <xf numFmtId="10" fontId="33" fillId="2" borderId="16" xfId="0" applyNumberFormat="1" applyFont="1" applyFill="1" applyBorder="1" applyAlignment="1">
      <alignment horizontal="center"/>
    </xf>
    <xf numFmtId="10" fontId="33" fillId="2" borderId="13" xfId="1" applyNumberFormat="1" applyFont="1" applyFill="1" applyBorder="1" applyAlignment="1">
      <alignment horizontal="center"/>
    </xf>
    <xf numFmtId="10" fontId="33" fillId="2" borderId="0" xfId="1" applyNumberFormat="1" applyFont="1" applyFill="1" applyBorder="1" applyAlignment="1">
      <alignment horizontal="center"/>
    </xf>
    <xf numFmtId="10" fontId="33" fillId="2" borderId="16" xfId="1" applyNumberFormat="1" applyFont="1" applyFill="1" applyBorder="1" applyAlignment="1">
      <alignment horizontal="center"/>
    </xf>
    <xf numFmtId="10" fontId="33" fillId="2" borderId="17" xfId="1" applyNumberFormat="1" applyFont="1" applyFill="1" applyBorder="1" applyAlignment="1">
      <alignment horizontal="center"/>
    </xf>
    <xf numFmtId="10" fontId="33" fillId="2" borderId="18" xfId="1" applyNumberFormat="1" applyFont="1" applyFill="1" applyBorder="1" applyAlignment="1">
      <alignment horizontal="center"/>
    </xf>
    <xf numFmtId="10" fontId="33" fillId="2" borderId="19" xfId="1" applyNumberFormat="1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 vertical="center"/>
    </xf>
    <xf numFmtId="0" fontId="31" fillId="2" borderId="13" xfId="3" applyFont="1" applyFill="1" applyBorder="1" applyAlignment="1" applyProtection="1">
      <alignment horizontal="right" wrapText="1"/>
      <protection locked="0"/>
    </xf>
    <xf numFmtId="0" fontId="34" fillId="2" borderId="13" xfId="3" applyFont="1" applyFill="1" applyBorder="1" applyAlignment="1" applyProtection="1">
      <alignment horizontal="right" wrapText="1"/>
      <protection locked="0"/>
    </xf>
    <xf numFmtId="0" fontId="33" fillId="2" borderId="13" xfId="3" applyFont="1" applyFill="1" applyBorder="1" applyAlignment="1" applyProtection="1">
      <alignment wrapText="1"/>
      <protection locked="0"/>
    </xf>
    <xf numFmtId="0" fontId="33" fillId="2" borderId="13" xfId="3" applyFont="1" applyFill="1" applyBorder="1" applyAlignment="1" applyProtection="1">
      <alignment horizontal="right" wrapText="1"/>
      <protection locked="0"/>
    </xf>
    <xf numFmtId="167" fontId="33" fillId="2" borderId="0" xfId="3" applyNumberFormat="1" applyFont="1" applyFill="1" applyBorder="1" applyAlignment="1" applyProtection="1">
      <alignment horizontal="center" wrapText="1" shrinkToFit="1"/>
      <protection locked="0"/>
    </xf>
    <xf numFmtId="167" fontId="33" fillId="2" borderId="16" xfId="3" applyNumberFormat="1" applyFont="1" applyFill="1" applyBorder="1" applyAlignment="1" applyProtection="1">
      <alignment horizontal="center" wrapText="1" shrinkToFit="1"/>
      <protection locked="0"/>
    </xf>
    <xf numFmtId="0" fontId="33" fillId="2" borderId="13" xfId="4" applyFont="1" applyFill="1" applyBorder="1" applyAlignment="1" applyProtection="1">
      <alignment horizontal="right" wrapText="1"/>
      <protection locked="0"/>
    </xf>
    <xf numFmtId="0" fontId="33" fillId="2" borderId="13" xfId="4" applyFont="1" applyFill="1" applyBorder="1" applyAlignment="1" applyProtection="1">
      <alignment wrapText="1"/>
      <protection locked="0"/>
    </xf>
    <xf numFmtId="167" fontId="33" fillId="2" borderId="0" xfId="4" applyNumberFormat="1" applyFont="1" applyFill="1" applyBorder="1" applyAlignment="1" applyProtection="1">
      <alignment horizontal="center" wrapText="1"/>
      <protection locked="0"/>
    </xf>
    <xf numFmtId="167" fontId="33" fillId="2" borderId="16" xfId="4" applyNumberFormat="1" applyFont="1" applyFill="1" applyBorder="1" applyAlignment="1" applyProtection="1">
      <alignment horizontal="center" wrapText="1"/>
      <protection locked="0"/>
    </xf>
    <xf numFmtId="0" fontId="36" fillId="2" borderId="13" xfId="4" applyFont="1" applyFill="1" applyBorder="1" applyAlignment="1" applyProtection="1">
      <alignment horizontal="right" wrapText="1"/>
      <protection locked="0"/>
    </xf>
    <xf numFmtId="0" fontId="36" fillId="2" borderId="13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9" fontId="7" fillId="2" borderId="13" xfId="1" applyFont="1" applyFill="1" applyBorder="1" applyAlignment="1">
      <alignment horizontal="center"/>
    </xf>
    <xf numFmtId="9" fontId="7" fillId="2" borderId="0" xfId="1" applyFont="1" applyFill="1" applyBorder="1" applyAlignment="1">
      <alignment horizontal="center"/>
    </xf>
    <xf numFmtId="9" fontId="7" fillId="2" borderId="16" xfId="1" applyFont="1" applyFill="1" applyBorder="1" applyAlignment="1">
      <alignment horizontal="center"/>
    </xf>
    <xf numFmtId="37" fontId="7" fillId="2" borderId="17" xfId="2" applyNumberFormat="1" applyFont="1" applyFill="1" applyBorder="1" applyAlignment="1">
      <alignment horizontal="center"/>
    </xf>
    <xf numFmtId="37" fontId="7" fillId="2" borderId="18" xfId="2" applyNumberFormat="1" applyFont="1" applyFill="1" applyBorder="1" applyAlignment="1">
      <alignment horizontal="center"/>
    </xf>
    <xf numFmtId="37" fontId="7" fillId="2" borderId="19" xfId="2" applyNumberFormat="1" applyFont="1" applyFill="1" applyBorder="1" applyAlignment="1">
      <alignment horizontal="center"/>
    </xf>
    <xf numFmtId="0" fontId="39" fillId="2" borderId="13" xfId="0" applyFont="1" applyFill="1" applyBorder="1" applyAlignment="1"/>
    <xf numFmtId="0" fontId="39" fillId="2" borderId="13" xfId="0" applyFont="1" applyFill="1" applyBorder="1" applyAlignment="1">
      <alignment horizontal="right" vertical="center"/>
    </xf>
    <xf numFmtId="3" fontId="33" fillId="2" borderId="17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horizontal="center" vertical="center"/>
    </xf>
    <xf numFmtId="3" fontId="33" fillId="2" borderId="19" xfId="0" applyNumberFormat="1" applyFont="1" applyFill="1" applyBorder="1" applyAlignment="1">
      <alignment horizontal="center" vertical="center"/>
    </xf>
    <xf numFmtId="168" fontId="33" fillId="2" borderId="13" xfId="0" applyNumberFormat="1" applyFont="1" applyFill="1" applyBorder="1" applyAlignment="1">
      <alignment horizontal="center" vertical="center"/>
    </xf>
    <xf numFmtId="168" fontId="33" fillId="2" borderId="0" xfId="0" applyNumberFormat="1" applyFont="1" applyFill="1" applyBorder="1" applyAlignment="1">
      <alignment horizontal="center" vertical="center"/>
    </xf>
    <xf numFmtId="168" fontId="33" fillId="2" borderId="16" xfId="0" applyNumberFormat="1" applyFont="1" applyFill="1" applyBorder="1" applyAlignment="1">
      <alignment horizontal="center" vertical="center"/>
    </xf>
    <xf numFmtId="168" fontId="33" fillId="2" borderId="17" xfId="0" applyNumberFormat="1" applyFont="1" applyFill="1" applyBorder="1" applyAlignment="1">
      <alignment horizontal="center" vertical="center"/>
    </xf>
    <xf numFmtId="168" fontId="33" fillId="2" borderId="18" xfId="0" applyNumberFormat="1" applyFont="1" applyFill="1" applyBorder="1" applyAlignment="1">
      <alignment horizontal="center" vertical="center"/>
    </xf>
    <xf numFmtId="168" fontId="33" fillId="2" borderId="19" xfId="0" applyNumberFormat="1" applyFont="1" applyFill="1" applyBorder="1" applyAlignment="1">
      <alignment horizontal="center" vertical="center"/>
    </xf>
    <xf numFmtId="10" fontId="33" fillId="2" borderId="17" xfId="0" applyNumberFormat="1" applyFont="1" applyFill="1" applyBorder="1" applyAlignment="1">
      <alignment horizontal="center" vertical="center"/>
    </xf>
    <xf numFmtId="10" fontId="33" fillId="2" borderId="18" xfId="0" applyNumberFormat="1" applyFont="1" applyFill="1" applyBorder="1" applyAlignment="1">
      <alignment horizontal="center" vertical="center"/>
    </xf>
    <xf numFmtId="10" fontId="33" fillId="2" borderId="19" xfId="0" applyNumberFormat="1" applyFont="1" applyFill="1" applyBorder="1" applyAlignment="1">
      <alignment horizontal="center" vertical="center"/>
    </xf>
    <xf numFmtId="38" fontId="33" fillId="2" borderId="13" xfId="0" applyNumberFormat="1" applyFont="1" applyFill="1" applyBorder="1" applyAlignment="1">
      <alignment vertical="center"/>
    </xf>
    <xf numFmtId="38" fontId="33" fillId="2" borderId="0" xfId="0" applyNumberFormat="1" applyFont="1" applyFill="1" applyBorder="1" applyAlignment="1">
      <alignment vertical="center"/>
    </xf>
    <xf numFmtId="38" fontId="33" fillId="2" borderId="16" xfId="0" applyNumberFormat="1" applyFont="1" applyFill="1" applyBorder="1" applyAlignment="1">
      <alignment vertical="center"/>
    </xf>
    <xf numFmtId="164" fontId="33" fillId="2" borderId="13" xfId="1" applyNumberFormat="1" applyFont="1" applyFill="1" applyBorder="1" applyAlignment="1">
      <alignment horizontal="center" vertical="center"/>
    </xf>
    <xf numFmtId="164" fontId="33" fillId="2" borderId="0" xfId="1" applyNumberFormat="1" applyFont="1" applyFill="1" applyBorder="1" applyAlignment="1">
      <alignment horizontal="center" vertical="center"/>
    </xf>
    <xf numFmtId="164" fontId="33" fillId="2" borderId="16" xfId="1" applyNumberFormat="1" applyFont="1" applyFill="1" applyBorder="1" applyAlignment="1">
      <alignment horizontal="center" vertical="center"/>
    </xf>
    <xf numFmtId="38" fontId="33" fillId="2" borderId="13" xfId="1" applyNumberFormat="1" applyFont="1" applyFill="1" applyBorder="1" applyAlignment="1">
      <alignment horizontal="center" vertical="center"/>
    </xf>
    <xf numFmtId="38" fontId="33" fillId="2" borderId="0" xfId="1" applyNumberFormat="1" applyFont="1" applyFill="1" applyBorder="1" applyAlignment="1">
      <alignment horizontal="center" vertical="center"/>
    </xf>
    <xf numFmtId="38" fontId="33" fillId="2" borderId="16" xfId="1" applyNumberFormat="1" applyFont="1" applyFill="1" applyBorder="1" applyAlignment="1">
      <alignment horizontal="center" vertical="center"/>
    </xf>
    <xf numFmtId="164" fontId="33" fillId="2" borderId="17" xfId="1" applyNumberFormat="1" applyFont="1" applyFill="1" applyBorder="1" applyAlignment="1">
      <alignment horizontal="center" vertical="center"/>
    </xf>
    <xf numFmtId="164" fontId="33" fillId="2" borderId="18" xfId="1" applyNumberFormat="1" applyFont="1" applyFill="1" applyBorder="1" applyAlignment="1">
      <alignment horizontal="center" vertical="center"/>
    </xf>
    <xf numFmtId="164" fontId="33" fillId="2" borderId="19" xfId="1" applyNumberFormat="1" applyFont="1" applyFill="1" applyBorder="1" applyAlignment="1">
      <alignment horizontal="center" vertical="center"/>
    </xf>
    <xf numFmtId="0" fontId="40" fillId="2" borderId="13" xfId="5" applyFont="1" applyFill="1" applyBorder="1" applyAlignment="1">
      <alignment horizontal="right" vertical="center"/>
    </xf>
    <xf numFmtId="0" fontId="32" fillId="7" borderId="12" xfId="0" applyFont="1" applyFill="1" applyBorder="1" applyAlignment="1">
      <alignment horizontal="center" vertical="center"/>
    </xf>
    <xf numFmtId="0" fontId="39" fillId="2" borderId="13" xfId="5" applyFont="1" applyFill="1" applyBorder="1" applyAlignment="1">
      <alignment horizontal="right" vertical="center"/>
    </xf>
    <xf numFmtId="0" fontId="32" fillId="6" borderId="13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3" fontId="39" fillId="2" borderId="13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9" fillId="2" borderId="16" xfId="0" applyNumberFormat="1" applyFont="1" applyFill="1" applyBorder="1" applyAlignment="1">
      <alignment horizontal="center" vertical="center"/>
    </xf>
    <xf numFmtId="0" fontId="39" fillId="2" borderId="13" xfId="5" applyFont="1" applyFill="1" applyBorder="1" applyAlignment="1">
      <alignment horizontal="right" vertical="center" wrapText="1"/>
    </xf>
    <xf numFmtId="10" fontId="39" fillId="2" borderId="13" xfId="5" applyNumberFormat="1" applyFont="1" applyFill="1" applyBorder="1" applyAlignment="1">
      <alignment horizontal="center" vertical="center"/>
    </xf>
    <xf numFmtId="10" fontId="39" fillId="2" borderId="0" xfId="5" applyNumberFormat="1" applyFont="1" applyFill="1" applyBorder="1" applyAlignment="1">
      <alignment horizontal="center" vertical="center"/>
    </xf>
    <xf numFmtId="10" fontId="39" fillId="2" borderId="16" xfId="5" applyNumberFormat="1" applyFont="1" applyFill="1" applyBorder="1" applyAlignment="1">
      <alignment horizontal="center" vertical="center"/>
    </xf>
    <xf numFmtId="171" fontId="39" fillId="2" borderId="17" xfId="6" applyNumberFormat="1" applyFont="1" applyFill="1" applyBorder="1" applyAlignment="1">
      <alignment horizontal="center" vertical="center"/>
    </xf>
    <xf numFmtId="171" fontId="39" fillId="2" borderId="18" xfId="6" applyNumberFormat="1" applyFont="1" applyFill="1" applyBorder="1" applyAlignment="1">
      <alignment horizontal="center" vertical="center"/>
    </xf>
    <xf numFmtId="171" fontId="39" fillId="2" borderId="19" xfId="6" applyNumberFormat="1" applyFont="1" applyFill="1" applyBorder="1" applyAlignment="1">
      <alignment horizontal="center" vertical="center"/>
    </xf>
    <xf numFmtId="38" fontId="38" fillId="2" borderId="1" xfId="0" applyNumberFormat="1" applyFont="1" applyFill="1" applyBorder="1" applyAlignment="1">
      <alignment vertical="center"/>
    </xf>
    <xf numFmtId="38" fontId="38" fillId="2" borderId="1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vertical="center"/>
    </xf>
    <xf numFmtId="170" fontId="33" fillId="2" borderId="13" xfId="6" applyNumberFormat="1" applyFont="1" applyFill="1" applyBorder="1" applyAlignment="1">
      <alignment vertical="center" shrinkToFit="1"/>
    </xf>
    <xf numFmtId="170" fontId="33" fillId="2" borderId="0" xfId="6" applyNumberFormat="1" applyFont="1" applyFill="1" applyBorder="1" applyAlignment="1">
      <alignment vertical="center" shrinkToFit="1"/>
    </xf>
    <xf numFmtId="170" fontId="33" fillId="2" borderId="0" xfId="0" applyNumberFormat="1" applyFont="1" applyFill="1" applyBorder="1" applyAlignment="1">
      <alignment vertical="center" shrinkToFit="1"/>
    </xf>
    <xf numFmtId="10" fontId="33" fillId="2" borderId="0" xfId="1" applyNumberFormat="1" applyFont="1" applyFill="1" applyBorder="1" applyAlignment="1">
      <alignment vertical="center" shrinkToFit="1"/>
    </xf>
    <xf numFmtId="170" fontId="34" fillId="2" borderId="10" xfId="6" applyNumberFormat="1" applyFont="1" applyFill="1" applyBorder="1" applyAlignment="1">
      <alignment vertical="center" shrinkToFit="1"/>
    </xf>
    <xf numFmtId="170" fontId="34" fillId="2" borderId="11" xfId="6" applyNumberFormat="1" applyFont="1" applyFill="1" applyBorder="1" applyAlignment="1">
      <alignment vertical="center" shrinkToFit="1"/>
    </xf>
    <xf numFmtId="10" fontId="33" fillId="2" borderId="11" xfId="1" applyNumberFormat="1" applyFont="1" applyFill="1" applyBorder="1" applyAlignment="1">
      <alignment vertical="center" shrinkToFit="1"/>
    </xf>
    <xf numFmtId="170" fontId="33" fillId="2" borderId="13" xfId="0" applyNumberFormat="1" applyFont="1" applyFill="1" applyBorder="1" applyAlignment="1">
      <alignment vertical="center" shrinkToFit="1"/>
    </xf>
    <xf numFmtId="0" fontId="33" fillId="2" borderId="13" xfId="0" applyFont="1" applyFill="1" applyBorder="1" applyAlignment="1">
      <alignment vertical="center" shrinkToFit="1"/>
    </xf>
    <xf numFmtId="10" fontId="34" fillId="2" borderId="13" xfId="1" applyNumberFormat="1" applyFont="1" applyFill="1" applyBorder="1" applyAlignment="1">
      <alignment vertical="center" shrinkToFit="1"/>
    </xf>
    <xf numFmtId="10" fontId="34" fillId="2" borderId="0" xfId="1" applyNumberFormat="1" applyFont="1" applyFill="1" applyBorder="1" applyAlignment="1">
      <alignment vertical="center" shrinkToFit="1"/>
    </xf>
    <xf numFmtId="10" fontId="34" fillId="2" borderId="16" xfId="1" applyNumberFormat="1" applyFont="1" applyFill="1" applyBorder="1" applyAlignment="1">
      <alignment vertical="center" shrinkToFit="1"/>
    </xf>
    <xf numFmtId="0" fontId="34" fillId="2" borderId="19" xfId="0" applyFont="1" applyFill="1" applyBorder="1" applyAlignment="1">
      <alignment vertical="center" shrinkToFit="1"/>
    </xf>
    <xf numFmtId="0" fontId="0" fillId="0" borderId="0" xfId="0" applyAlignment="1">
      <alignment horizontal="right"/>
    </xf>
    <xf numFmtId="0" fontId="41" fillId="2" borderId="0" xfId="0" applyFont="1" applyFill="1" applyBorder="1" applyAlignment="1">
      <alignment vertical="center"/>
    </xf>
    <xf numFmtId="166" fontId="33" fillId="3" borderId="0" xfId="0" applyNumberFormat="1" applyFont="1" applyFill="1" applyBorder="1" applyAlignment="1">
      <alignment vertical="center"/>
    </xf>
    <xf numFmtId="1" fontId="33" fillId="3" borderId="0" xfId="0" applyNumberFormat="1" applyFont="1" applyFill="1" applyBorder="1" applyAlignment="1">
      <alignment vertical="center"/>
    </xf>
    <xf numFmtId="166" fontId="33" fillId="3" borderId="0" xfId="0" applyNumberFormat="1" applyFont="1" applyFill="1" applyBorder="1" applyAlignment="1">
      <alignment horizontal="center" vertical="center"/>
    </xf>
    <xf numFmtId="169" fontId="33" fillId="3" borderId="0" xfId="0" applyNumberFormat="1" applyFont="1" applyFill="1" applyBorder="1" applyAlignment="1">
      <alignment vertical="center"/>
    </xf>
    <xf numFmtId="169" fontId="33" fillId="3" borderId="0" xfId="0" applyNumberFormat="1" applyFont="1" applyFill="1" applyBorder="1" applyAlignment="1" applyProtection="1">
      <alignment horizontal="center" vertical="center"/>
    </xf>
    <xf numFmtId="0" fontId="35" fillId="3" borderId="0" xfId="0" applyFont="1" applyFill="1"/>
    <xf numFmtId="166" fontId="35" fillId="3" borderId="0" xfId="0" applyNumberFormat="1" applyFont="1" applyFill="1"/>
    <xf numFmtId="0" fontId="35" fillId="3" borderId="0" xfId="0" applyFont="1" applyFill="1" applyBorder="1"/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/>
    <xf numFmtId="166" fontId="33" fillId="2" borderId="0" xfId="0" applyNumberFormat="1" applyFont="1" applyFill="1" applyBorder="1"/>
    <xf numFmtId="0" fontId="35" fillId="2" borderId="18" xfId="0" applyFont="1" applyFill="1" applyBorder="1"/>
    <xf numFmtId="1" fontId="42" fillId="6" borderId="0" xfId="0" applyNumberFormat="1" applyFont="1" applyFill="1" applyBorder="1" applyAlignment="1">
      <alignment horizontal="center" vertical="center"/>
    </xf>
    <xf numFmtId="1" fontId="42" fillId="6" borderId="13" xfId="0" applyNumberFormat="1" applyFont="1" applyFill="1" applyBorder="1" applyAlignment="1">
      <alignment horizontal="center" vertical="center"/>
    </xf>
    <xf numFmtId="1" fontId="42" fillId="7" borderId="16" xfId="0" applyNumberFormat="1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vertical="center"/>
    </xf>
    <xf numFmtId="10" fontId="33" fillId="2" borderId="18" xfId="1" applyNumberFormat="1" applyFont="1" applyFill="1" applyBorder="1" applyAlignment="1">
      <alignment horizontal="center" vertical="center"/>
    </xf>
    <xf numFmtId="10" fontId="33" fillId="2" borderId="19" xfId="1" applyNumberFormat="1" applyFont="1" applyFill="1" applyBorder="1" applyAlignment="1">
      <alignment horizontal="center" vertical="center"/>
    </xf>
    <xf numFmtId="1" fontId="42" fillId="6" borderId="4" xfId="0" applyNumberFormat="1" applyFont="1" applyFill="1" applyBorder="1" applyAlignment="1">
      <alignment horizontal="center" vertical="center"/>
    </xf>
    <xf numFmtId="1" fontId="42" fillId="6" borderId="9" xfId="0" applyNumberFormat="1" applyFont="1" applyFill="1" applyBorder="1" applyAlignment="1">
      <alignment horizontal="center" vertical="center"/>
    </xf>
    <xf numFmtId="10" fontId="33" fillId="2" borderId="5" xfId="1" applyNumberFormat="1" applyFont="1" applyFill="1" applyBorder="1" applyAlignment="1">
      <alignment horizontal="center" vertical="center"/>
    </xf>
    <xf numFmtId="10" fontId="33" fillId="2" borderId="6" xfId="1" applyNumberFormat="1" applyFont="1" applyFill="1" applyBorder="1" applyAlignment="1">
      <alignment horizontal="center" vertical="center"/>
    </xf>
    <xf numFmtId="10" fontId="33" fillId="2" borderId="31" xfId="1" applyNumberFormat="1" applyFont="1" applyFill="1" applyBorder="1" applyAlignment="1">
      <alignment horizontal="center" vertical="center"/>
    </xf>
    <xf numFmtId="0" fontId="35" fillId="2" borderId="12" xfId="0" applyFont="1" applyFill="1" applyBorder="1"/>
    <xf numFmtId="177" fontId="33" fillId="2" borderId="13" xfId="0" applyNumberFormat="1" applyFont="1" applyFill="1" applyBorder="1" applyAlignment="1">
      <alignment horizontal="center" vertical="center"/>
    </xf>
    <xf numFmtId="177" fontId="33" fillId="2" borderId="0" xfId="0" applyNumberFormat="1" applyFont="1" applyFill="1" applyBorder="1" applyAlignment="1">
      <alignment horizontal="center" vertical="center"/>
    </xf>
    <xf numFmtId="177" fontId="33" fillId="2" borderId="16" xfId="0" applyNumberFormat="1" applyFont="1" applyFill="1" applyBorder="1" applyAlignment="1">
      <alignment horizontal="center" vertical="center"/>
    </xf>
    <xf numFmtId="177" fontId="33" fillId="2" borderId="4" xfId="0" applyNumberFormat="1" applyFont="1" applyFill="1" applyBorder="1" applyAlignment="1">
      <alignment horizontal="center" vertical="center"/>
    </xf>
    <xf numFmtId="177" fontId="33" fillId="2" borderId="9" xfId="0" applyNumberFormat="1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vertical="center"/>
    </xf>
    <xf numFmtId="0" fontId="35" fillId="2" borderId="9" xfId="0" applyFont="1" applyFill="1" applyBorder="1"/>
    <xf numFmtId="0" fontId="43" fillId="2" borderId="4" xfId="0" applyFont="1" applyFill="1" applyBorder="1" applyAlignment="1">
      <alignment horizontal="right" vertical="center"/>
    </xf>
    <xf numFmtId="0" fontId="34" fillId="2" borderId="4" xfId="0" applyFont="1" applyFill="1" applyBorder="1" applyAlignment="1">
      <alignment horizontal="right" vertical="center"/>
    </xf>
    <xf numFmtId="0" fontId="35" fillId="2" borderId="32" xfId="0" applyFont="1" applyFill="1" applyBorder="1"/>
    <xf numFmtId="0" fontId="35" fillId="2" borderId="33" xfId="0" applyFont="1" applyFill="1" applyBorder="1"/>
    <xf numFmtId="0" fontId="35" fillId="2" borderId="4" xfId="0" applyFont="1" applyFill="1" applyBorder="1"/>
    <xf numFmtId="0" fontId="35" fillId="2" borderId="34" xfId="0" applyFont="1" applyFill="1" applyBorder="1"/>
    <xf numFmtId="0" fontId="35" fillId="2" borderId="35" xfId="0" applyFont="1" applyFill="1" applyBorder="1"/>
    <xf numFmtId="0" fontId="35" fillId="2" borderId="5" xfId="0" applyFont="1" applyFill="1" applyBorder="1"/>
    <xf numFmtId="0" fontId="35" fillId="2" borderId="6" xfId="0" applyFont="1" applyFill="1" applyBorder="1"/>
    <xf numFmtId="0" fontId="35" fillId="2" borderId="31" xfId="0" applyFont="1" applyFill="1" applyBorder="1"/>
    <xf numFmtId="170" fontId="34" fillId="2" borderId="13" xfId="0" applyNumberFormat="1" applyFont="1" applyFill="1" applyBorder="1" applyAlignment="1">
      <alignment vertical="center" shrinkToFit="1"/>
    </xf>
    <xf numFmtId="170" fontId="34" fillId="2" borderId="0" xfId="0" applyNumberFormat="1" applyFont="1" applyFill="1" applyBorder="1" applyAlignment="1">
      <alignment vertical="center" shrinkToFit="1"/>
    </xf>
    <xf numFmtId="0" fontId="34" fillId="2" borderId="0" xfId="0" applyFont="1" applyFill="1" applyBorder="1" applyAlignment="1">
      <alignment vertical="center" shrinkToFit="1"/>
    </xf>
    <xf numFmtId="0" fontId="34" fillId="2" borderId="16" xfId="0" applyFont="1" applyFill="1" applyBorder="1" applyAlignment="1">
      <alignment vertical="center" shrinkToFit="1"/>
    </xf>
    <xf numFmtId="0" fontId="32" fillId="6" borderId="0" xfId="0" applyFont="1" applyFill="1" applyBorder="1" applyAlignment="1">
      <alignment horizontal="center" vertical="center"/>
    </xf>
    <xf numFmtId="0" fontId="0" fillId="10" borderId="0" xfId="0" applyFill="1"/>
    <xf numFmtId="0" fontId="32" fillId="7" borderId="28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right"/>
    </xf>
    <xf numFmtId="0" fontId="33" fillId="2" borderId="35" xfId="0" applyFont="1" applyFill="1" applyBorder="1"/>
    <xf numFmtId="38" fontId="33" fillId="2" borderId="4" xfId="0" applyNumberFormat="1" applyFont="1" applyFill="1" applyBorder="1" applyAlignment="1">
      <alignment horizontal="right" wrapText="1"/>
    </xf>
    <xf numFmtId="38" fontId="33" fillId="2" borderId="9" xfId="0" applyNumberFormat="1" applyFont="1" applyFill="1" applyBorder="1"/>
    <xf numFmtId="38" fontId="33" fillId="2" borderId="5" xfId="0" applyNumberFormat="1" applyFont="1" applyFill="1" applyBorder="1" applyAlignment="1">
      <alignment horizontal="right" wrapText="1"/>
    </xf>
    <xf numFmtId="38" fontId="33" fillId="2" borderId="6" xfId="0" applyNumberFormat="1" applyFont="1" applyFill="1" applyBorder="1" applyAlignment="1">
      <alignment horizontal="right" wrapText="1"/>
    </xf>
    <xf numFmtId="38" fontId="33" fillId="2" borderId="6" xfId="0" applyNumberFormat="1" applyFont="1" applyFill="1" applyBorder="1"/>
    <xf numFmtId="38" fontId="33" fillId="2" borderId="31" xfId="0" applyNumberFormat="1" applyFont="1" applyFill="1" applyBorder="1"/>
    <xf numFmtId="0" fontId="21" fillId="0" borderId="16" xfId="0" applyFont="1" applyFill="1" applyBorder="1"/>
    <xf numFmtId="164" fontId="37" fillId="2" borderId="1" xfId="1" applyNumberFormat="1" applyFont="1" applyFill="1" applyBorder="1" applyAlignment="1">
      <alignment vertical="center"/>
    </xf>
    <xf numFmtId="0" fontId="38" fillId="2" borderId="9" xfId="0" applyFont="1" applyFill="1" applyBorder="1" applyAlignment="1">
      <alignment vertical="center"/>
    </xf>
    <xf numFmtId="0" fontId="37" fillId="2" borderId="5" xfId="0" applyFont="1" applyFill="1" applyBorder="1" applyAlignment="1">
      <alignment horizontal="right" vertical="center"/>
    </xf>
    <xf numFmtId="0" fontId="37" fillId="2" borderId="6" xfId="0" applyFont="1" applyFill="1" applyBorder="1" applyAlignment="1">
      <alignment vertical="center"/>
    </xf>
    <xf numFmtId="10" fontId="21" fillId="2" borderId="16" xfId="0" applyNumberFormat="1" applyFont="1" applyFill="1" applyBorder="1" applyAlignment="1">
      <alignment horizontal="center"/>
    </xf>
    <xf numFmtId="6" fontId="34" fillId="2" borderId="20" xfId="0" applyNumberFormat="1" applyFont="1" applyFill="1" applyBorder="1" applyAlignment="1">
      <alignment vertical="center" shrinkToFit="1"/>
    </xf>
    <xf numFmtId="6" fontId="33" fillId="2" borderId="11" xfId="0" applyNumberFormat="1" applyFont="1" applyFill="1" applyBorder="1" applyAlignment="1">
      <alignment vertical="center" shrinkToFit="1"/>
    </xf>
    <xf numFmtId="6" fontId="33" fillId="2" borderId="20" xfId="0" applyNumberFormat="1" applyFont="1" applyFill="1" applyBorder="1" applyAlignment="1">
      <alignment vertical="center" shrinkToFit="1"/>
    </xf>
    <xf numFmtId="0" fontId="32" fillId="6" borderId="14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29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</cellXfs>
  <cellStyles count="7">
    <cellStyle name="Comma" xfId="2" builtinId="3"/>
    <cellStyle name="Currency" xfId="6" builtinId="4"/>
    <cellStyle name="Normal" xfId="0" builtinId="0"/>
    <cellStyle name="Normal 2" xfId="5"/>
    <cellStyle name="Normal_Dave's FIVEYRproj" xfId="4"/>
    <cellStyle name="Normal_WI FPP Shell 1.05" xfId="3"/>
    <cellStyle name="Percent" xfId="1" builtinId="5"/>
  </cellStyles>
  <dxfs count="0"/>
  <tableStyles count="0" defaultTableStyle="TableStyleMedium2" defaultPivotStyle="PivotStyleLight16"/>
  <colors>
    <mruColors>
      <color rgb="FFA9D08E"/>
      <color rgb="FFE3E3E3"/>
      <color rgb="FF262729"/>
      <color rgb="FF0031CD"/>
      <color rgb="FF894BBD"/>
      <color rgb="FF717271"/>
      <color rgb="FF748299"/>
      <color rgb="FFE33655"/>
      <color rgb="FF013EFF"/>
      <color rgb="FF659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FY Surplus/Deficit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'10H'!$U$26</c:f>
              <c:strCache>
                <c:ptCount val="1"/>
                <c:pt idx="0">
                  <c:v>Surplus/Deficit</c:v>
                </c:pt>
              </c:strCache>
            </c:strRef>
          </c:tx>
          <c:spPr>
            <a:solidFill>
              <a:srgbClr val="0031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'10H'!$V$25:$AA$25</c:f>
              <c:strCache>
                <c:ptCount val="6"/>
                <c:pt idx="0">
                  <c:v>FY - 2013</c:v>
                </c:pt>
                <c:pt idx="1">
                  <c:v>FY - 2014</c:v>
                </c:pt>
                <c:pt idx="2">
                  <c:v>FY - 2015</c:v>
                </c:pt>
                <c:pt idx="3">
                  <c:v>FY - 2016</c:v>
                </c:pt>
                <c:pt idx="4">
                  <c:v>FY - 2017</c:v>
                </c:pt>
                <c:pt idx="5">
                  <c:v>FY - 2018</c:v>
                </c:pt>
              </c:strCache>
            </c:strRef>
          </c:cat>
          <c:val>
            <c:numRef>
              <c:f>'10H'!$V$26:$AA$26</c:f>
              <c:numCache>
                <c:formatCode>"$"#,##0_);[Red]\("$"#,##0\)</c:formatCode>
                <c:ptCount val="6"/>
                <c:pt idx="0">
                  <c:v>-445865.23000000138</c:v>
                </c:pt>
                <c:pt idx="1">
                  <c:v>-724785.99000000022</c:v>
                </c:pt>
                <c:pt idx="2">
                  <c:v>-408751.93000000063</c:v>
                </c:pt>
                <c:pt idx="3">
                  <c:v>-498022.51000000071</c:v>
                </c:pt>
                <c:pt idx="4">
                  <c:v>-51276.380000001751</c:v>
                </c:pt>
                <c:pt idx="5">
                  <c:v>517551.58000000101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4-4FC5-8EF3-858F569F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426720"/>
        <c:axId val="693427112"/>
      </c:barChart>
      <c:catAx>
        <c:axId val="6934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693427112"/>
        <c:crosses val="autoZero"/>
        <c:auto val="1"/>
        <c:lblAlgn val="ctr"/>
        <c:lblOffset val="100"/>
        <c:noMultiLvlLbl val="0"/>
      </c:catAx>
      <c:valAx>
        <c:axId val="69342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9342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General</a:t>
            </a:r>
            <a:r>
              <a:rPr lang="en-US" b="1" baseline="0">
                <a:solidFill>
                  <a:sysClr val="windowText" lastClr="000000"/>
                </a:solidFill>
              </a:rPr>
              <a:t> Fund Income Surtax Rate Summary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41233087495806E-2"/>
          <c:y val="0.1604017284568397"/>
          <c:w val="0.7764682183752637"/>
          <c:h val="0.7194828175174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TaxRates!$T$47</c:f>
              <c:strCache>
                <c:ptCount val="1"/>
                <c:pt idx="0">
                  <c:v>General Fund - Instructional Levy Surtax Rate</c:v>
                </c:pt>
              </c:strCache>
            </c:strRef>
          </c:tx>
          <c:spPr>
            <a:solidFill>
              <a:srgbClr val="013EFF"/>
            </a:solidFill>
            <a:ln>
              <a:noFill/>
            </a:ln>
            <a:effectLst/>
          </c:spPr>
          <c:invertIfNegative val="0"/>
          <c:cat>
            <c:strRef>
              <c:f>TaxRates!$U$46:$AE$46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TaxRates!$U$47:$AE$47</c:f>
              <c:numCache>
                <c:formatCode>0.00%</c:formatCode>
                <c:ptCount val="11"/>
                <c:pt idx="0">
                  <c:v>0.1</c:v>
                </c:pt>
                <c:pt idx="1">
                  <c:v>0.08</c:v>
                </c:pt>
                <c:pt idx="2">
                  <c:v>0.01</c:v>
                </c:pt>
                <c:pt idx="3">
                  <c:v>0.01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C-4059-B915-7F4D5B4B64A3}"/>
            </c:ext>
          </c:extLst>
        </c:ser>
        <c:ser>
          <c:idx val="1"/>
          <c:order val="1"/>
          <c:tx>
            <c:strRef>
              <c:f>TaxRates!$T$48</c:f>
              <c:strCache>
                <c:ptCount val="1"/>
                <c:pt idx="0">
                  <c:v>General Fund - Ed. Improvement Surtax Rate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cat>
            <c:strRef>
              <c:f>TaxRates!$U$46:$AE$46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TaxRates!$U$48:$AE$48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C-4059-B915-7F4D5B4B64A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TaxRates!$U$46:$AE$46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TaxRates!$U$46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EC-4059-B915-7F4D5B4B6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102184"/>
        <c:axId val="693102576"/>
      </c:barChart>
      <c:catAx>
        <c:axId val="69310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02576"/>
        <c:crosses val="autoZero"/>
        <c:auto val="1"/>
        <c:lblAlgn val="ctr"/>
        <c:lblOffset val="100"/>
        <c:noMultiLvlLbl val="0"/>
      </c:catAx>
      <c:valAx>
        <c:axId val="6931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0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0718168201652"/>
          <c:y val="0.19589835074601594"/>
          <c:w val="0.13992822350439565"/>
          <c:h val="0.33547669783585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69319624489776E-2"/>
          <c:y val="0.19324357421209151"/>
          <c:w val="0.82134525888848509"/>
          <c:h val="0.68589052745756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TaxRates!$T$49</c:f>
              <c:strCache>
                <c:ptCount val="1"/>
                <c:pt idx="0">
                  <c:v>PPEL Fund - Voted PPEL Surtax Rate</c:v>
                </c:pt>
              </c:strCache>
            </c:strRef>
          </c:tx>
          <c:spPr>
            <a:solidFill>
              <a:srgbClr val="013EFF"/>
            </a:solidFill>
            <a:ln>
              <a:noFill/>
            </a:ln>
            <a:effectLst/>
          </c:spPr>
          <c:invertIfNegative val="0"/>
          <c:cat>
            <c:strRef>
              <c:f>TaxRates!$U$46:$AE$46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TaxRates!$U$49:$AE$49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5-4497-9C82-954A424C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157216"/>
        <c:axId val="694157608"/>
      </c:barChart>
      <c:catAx>
        <c:axId val="6941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57608"/>
        <c:crosses val="autoZero"/>
        <c:auto val="1"/>
        <c:lblAlgn val="ctr"/>
        <c:lblOffset val="100"/>
        <c:noMultiLvlLbl val="0"/>
      </c:catAx>
      <c:valAx>
        <c:axId val="69415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5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232354255154256"/>
          <c:y val="0.19576740848741836"/>
          <c:w val="8.8771814069855279E-2"/>
          <c:h val="0.40052905342676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262729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262729"/>
                </a:solidFill>
              </a:rPr>
              <a:t>Certified Enrollment History And</a:t>
            </a:r>
            <a:r>
              <a:rPr lang="en-US" b="1" baseline="0">
                <a:solidFill>
                  <a:srgbClr val="262729"/>
                </a:solidFill>
              </a:rPr>
              <a:t> Projections</a:t>
            </a:r>
            <a:endParaRPr lang="en-US" b="1">
              <a:solidFill>
                <a:srgbClr val="262729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262729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Certified'!$R$12</c:f>
              <c:strCache>
                <c:ptCount val="1"/>
                <c:pt idx="0">
                  <c:v>Certified Enrollment</c:v>
                </c:pt>
              </c:strCache>
            </c:strRef>
          </c:tx>
          <c:spPr>
            <a:solidFill>
              <a:srgbClr val="0031CD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('Enrollment Certified'!$C$6,'Enrollment Certified'!$D$6,'Enrollment Certified'!$E$6,'Enrollment Certified'!$F$6,'Enrollment Certified'!$G$6,'Enrollment Certified'!$H$6,'Enrollment Certified'!$J$6,'Enrollment Certified'!$K$6,'Enrollment Certified'!$L$6,'Enrollment Certified'!$M$6,'Enrollment Certified'!$N$6)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('Enrollment Certified'!$C$7,'Enrollment Certified'!$D$7,'Enrollment Certified'!$E$7,'Enrollment Certified'!$F$7,'Enrollment Certified'!$G$7,'Enrollment Certified'!$H$7,'Enrollment Certified'!$J$7,'Enrollment Certified'!$K$7,'Enrollment Certified'!$L$7,'Enrollment Certified'!$M$7,'Enrollment Certified'!$N$7)</c:f>
              <c:numCache>
                <c:formatCode>#,##0.0_);[Red]\(#,##0.0\)</c:formatCode>
                <c:ptCount val="11"/>
                <c:pt idx="0">
                  <c:v>586</c:v>
                </c:pt>
                <c:pt idx="1">
                  <c:v>593.4</c:v>
                </c:pt>
                <c:pt idx="2">
                  <c:v>573.79999999999995</c:v>
                </c:pt>
                <c:pt idx="3">
                  <c:v>546.5</c:v>
                </c:pt>
                <c:pt idx="4">
                  <c:v>528.9</c:v>
                </c:pt>
                <c:pt idx="5">
                  <c:v>516.6</c:v>
                </c:pt>
                <c:pt idx="6">
                  <c:v>505.91</c:v>
                </c:pt>
                <c:pt idx="7">
                  <c:v>490.91</c:v>
                </c:pt>
                <c:pt idx="8">
                  <c:v>475.91</c:v>
                </c:pt>
                <c:pt idx="9">
                  <c:v>465.91</c:v>
                </c:pt>
                <c:pt idx="10">
                  <c:v>460.91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5-494F-ACB9-310F7867E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158392"/>
        <c:axId val="694158784"/>
      </c:barChart>
      <c:catAx>
        <c:axId val="69415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58784"/>
        <c:crosses val="autoZero"/>
        <c:auto val="1"/>
        <c:lblAlgn val="ctr"/>
        <c:lblOffset val="100"/>
        <c:noMultiLvlLbl val="0"/>
      </c:catAx>
      <c:valAx>
        <c:axId val="694158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5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262729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262729"/>
                </a:solidFill>
              </a:rPr>
              <a:t>Certified Enrollment Change History And Projections</a:t>
            </a:r>
          </a:p>
        </c:rich>
      </c:tx>
      <c:layout>
        <c:manualLayout>
          <c:xMode val="edge"/>
          <c:yMode val="edge"/>
          <c:x val="0.23765043461326121"/>
          <c:y val="3.0301159398595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262729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Certified'!$R$14</c:f>
              <c:strCache>
                <c:ptCount val="1"/>
                <c:pt idx="0">
                  <c:v>Certified Enrollment Change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('Enrollment Certified'!$D$6,'Enrollment Certified'!$E$6,'Enrollment Certified'!$F$6,'Enrollment Certified'!$G$6,'Enrollment Certified'!$H$6,'Enrollment Certified'!$J$6,'Enrollment Certified'!$K$6,'Enrollment Certified'!$L$6,'Enrollment Certified'!$M$6,'Enrollment Certified'!$N$6)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('Enrollment Certified'!$D$8,'Enrollment Certified'!$E$8,'Enrollment Certified'!$F$8,'Enrollment Certified'!$G$8,'Enrollment Certified'!$H$8,'Enrollment Certified'!$J$8,'Enrollment Certified'!$K$8,'Enrollment Certified'!$L$8,'Enrollment Certified'!$M$8,'Enrollment Certified'!$N$8)</c:f>
              <c:numCache>
                <c:formatCode>#,##0.0_);[Red]\(#,##0.0\)</c:formatCode>
                <c:ptCount val="10"/>
                <c:pt idx="0">
                  <c:v>7.3999999999999773</c:v>
                </c:pt>
                <c:pt idx="1">
                  <c:v>-19.600000000000023</c:v>
                </c:pt>
                <c:pt idx="2">
                  <c:v>-27.299999999999955</c:v>
                </c:pt>
                <c:pt idx="3">
                  <c:v>-17.600000000000023</c:v>
                </c:pt>
                <c:pt idx="4">
                  <c:v>-12.299999999999955</c:v>
                </c:pt>
                <c:pt idx="5">
                  <c:v>-10.689999999999998</c:v>
                </c:pt>
                <c:pt idx="6">
                  <c:v>-15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C-46B9-96F1-EF8008EB7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159568"/>
        <c:axId val="694159960"/>
      </c:barChart>
      <c:catAx>
        <c:axId val="69415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59960"/>
        <c:crosses val="autoZero"/>
        <c:auto val="1"/>
        <c:lblAlgn val="ctr"/>
        <c:lblOffset val="100"/>
        <c:noMultiLvlLbl val="0"/>
      </c:catAx>
      <c:valAx>
        <c:axId val="69415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5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8985375899380055E-2"/>
          <c:y val="6.31617163740532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Solvency!$B$12</c:f>
              <c:strCache>
                <c:ptCount val="1"/>
                <c:pt idx="0">
                  <c:v>Solvency Ratio</c:v>
                </c:pt>
              </c:strCache>
            </c:strRef>
          </c:tx>
          <c:spPr>
            <a:solidFill>
              <a:srgbClr val="013EFF"/>
            </a:solidFill>
            <a:ln>
              <a:noFill/>
            </a:ln>
            <a:effectLst/>
            <a:sp3d/>
          </c:spPr>
          <c:invertIfNegative val="0"/>
          <c:cat>
            <c:strRef>
              <c:f>Solvency!$C$6:$M$6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Solvency!$C$12:$M$12</c:f>
              <c:numCache>
                <c:formatCode>0.00%</c:formatCode>
                <c:ptCount val="11"/>
                <c:pt idx="0">
                  <c:v>0.3711688194044731</c:v>
                </c:pt>
                <c:pt idx="1">
                  <c:v>0.21695395322376876</c:v>
                </c:pt>
                <c:pt idx="2">
                  <c:v>0.13947360605519518</c:v>
                </c:pt>
                <c:pt idx="3">
                  <c:v>6.830299577554981E-2</c:v>
                </c:pt>
                <c:pt idx="4">
                  <c:v>5.1574641699857482E-2</c:v>
                </c:pt>
                <c:pt idx="5">
                  <c:v>0.12652815588256139</c:v>
                </c:pt>
                <c:pt idx="6">
                  <c:v>0.19917349754202524</c:v>
                </c:pt>
                <c:pt idx="7">
                  <c:v>0.26175462691118639</c:v>
                </c:pt>
                <c:pt idx="8">
                  <c:v>0.31442881882122892</c:v>
                </c:pt>
                <c:pt idx="9">
                  <c:v>0.3564464552830609</c:v>
                </c:pt>
                <c:pt idx="10">
                  <c:v>0.39438681219446298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0-4926-ABB9-CF2A0C70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2743496"/>
        <c:axId val="692743888"/>
        <c:axId val="0"/>
      </c:bar3DChart>
      <c:catAx>
        <c:axId val="69274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3888"/>
        <c:crosses val="autoZero"/>
        <c:auto val="1"/>
        <c:lblAlgn val="ctr"/>
        <c:lblOffset val="100"/>
        <c:noMultiLvlLbl val="0"/>
      </c:catAx>
      <c:valAx>
        <c:axId val="69274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3907357143497017E-2"/>
          <c:y val="4.7348484848484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Solvency!$B$13</c:f>
              <c:strCache>
                <c:ptCount val="1"/>
                <c:pt idx="0">
                  <c:v>Maximum Cash Reserve Levy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  <a:sp3d/>
          </c:spPr>
          <c:invertIfNegative val="1"/>
          <c:cat>
            <c:strRef>
              <c:f>Solvency!$C$6:$M$6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Solvency!$C$13:$M$13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92944.066000000108</c:v>
                </c:pt>
                <c:pt idx="4">
                  <c:v>476984.71600000036</c:v>
                </c:pt>
                <c:pt idx="5">
                  <c:v>925336.52400000021</c:v>
                </c:pt>
                <c:pt idx="6">
                  <c:v>939512.35200000042</c:v>
                </c:pt>
                <c:pt idx="7">
                  <c:v>421476.81999999913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  <a:sp3d/>
                </c14:spPr>
              </c14:invertSolidFillFmt>
            </c:ext>
            <c:ext xmlns:c16="http://schemas.microsoft.com/office/drawing/2014/chart" uri="{C3380CC4-5D6E-409C-BE32-E72D297353CC}">
              <c16:uniqueId val="{00000000-9696-4F43-91E2-DE79A3DC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2744672"/>
        <c:axId val="692745064"/>
        <c:axId val="0"/>
      </c:bar3DChart>
      <c:catAx>
        <c:axId val="6927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5064"/>
        <c:crosses val="autoZero"/>
        <c:auto val="1"/>
        <c:lblAlgn val="ctr"/>
        <c:lblOffset val="100"/>
        <c:noMultiLvlLbl val="0"/>
      </c:catAx>
      <c:valAx>
        <c:axId val="69274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1">
                <a:solidFill>
                  <a:sysClr val="windowText" lastClr="000000"/>
                </a:solidFill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Fund Balance</a:t>
            </a:r>
          </a:p>
        </c:rich>
      </c:tx>
      <c:layout>
        <c:manualLayout>
          <c:xMode val="edge"/>
          <c:yMode val="edge"/>
          <c:x val="0.43133467832622613"/>
          <c:y val="2.96536777331701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'10H'!$U$28</c:f>
              <c:strCache>
                <c:ptCount val="1"/>
                <c:pt idx="0">
                  <c:v>Fund Balance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'10H'!$V$25:$AA$25</c:f>
              <c:strCache>
                <c:ptCount val="6"/>
                <c:pt idx="0">
                  <c:v>FY - 2013</c:v>
                </c:pt>
                <c:pt idx="1">
                  <c:v>FY - 2014</c:v>
                </c:pt>
                <c:pt idx="2">
                  <c:v>FY - 2015</c:v>
                </c:pt>
                <c:pt idx="3">
                  <c:v>FY - 2016</c:v>
                </c:pt>
                <c:pt idx="4">
                  <c:v>FY - 2017</c:v>
                </c:pt>
                <c:pt idx="5">
                  <c:v>FY - 2018</c:v>
                </c:pt>
              </c:strCache>
            </c:strRef>
          </c:cat>
          <c:val>
            <c:numRef>
              <c:f>'10H'!$V$28:$AA$28</c:f>
              <c:numCache>
                <c:formatCode>"$"#,##0_);[Red]\("$"#,##0\)</c:formatCode>
                <c:ptCount val="6"/>
                <c:pt idx="0">
                  <c:v>2193377.06</c:v>
                </c:pt>
                <c:pt idx="1">
                  <c:v>1468591.07</c:v>
                </c:pt>
                <c:pt idx="2">
                  <c:v>1059839.1399999999</c:v>
                </c:pt>
                <c:pt idx="3">
                  <c:v>561816.63</c:v>
                </c:pt>
                <c:pt idx="4">
                  <c:v>510540.25</c:v>
                </c:pt>
                <c:pt idx="5">
                  <c:v>1028091.830000001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4-4E73-B097-69D7E755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427896"/>
        <c:axId val="693428288"/>
      </c:barChart>
      <c:catAx>
        <c:axId val="69342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93428288"/>
        <c:crosses val="autoZero"/>
        <c:auto val="1"/>
        <c:lblAlgn val="ctr"/>
        <c:lblOffset val="100"/>
        <c:noMultiLvlLbl val="0"/>
      </c:catAx>
      <c:valAx>
        <c:axId val="6934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9342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Revenues vs.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'10H'!$U$30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rgbClr val="748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'10H'!$V$25:$AA$25</c:f>
              <c:strCache>
                <c:ptCount val="6"/>
                <c:pt idx="0">
                  <c:v>FY - 2013</c:v>
                </c:pt>
                <c:pt idx="1">
                  <c:v>FY - 2014</c:v>
                </c:pt>
                <c:pt idx="2">
                  <c:v>FY - 2015</c:v>
                </c:pt>
                <c:pt idx="3">
                  <c:v>FY - 2016</c:v>
                </c:pt>
                <c:pt idx="4">
                  <c:v>FY - 2017</c:v>
                </c:pt>
                <c:pt idx="5">
                  <c:v>FY - 2018</c:v>
                </c:pt>
              </c:strCache>
            </c:strRef>
          </c:cat>
          <c:val>
            <c:numRef>
              <c:f>'10H'!$V$30:$AA$30</c:f>
              <c:numCache>
                <c:formatCode>"$"#,##0_);[Red]\("$"#,##0\)</c:formatCode>
                <c:ptCount val="6"/>
                <c:pt idx="0">
                  <c:v>5714641.2299999986</c:v>
                </c:pt>
                <c:pt idx="1">
                  <c:v>6066086.1900000004</c:v>
                </c:pt>
                <c:pt idx="2">
                  <c:v>5989104.5</c:v>
                </c:pt>
                <c:pt idx="3">
                  <c:v>6149425.1099999994</c:v>
                </c:pt>
                <c:pt idx="4">
                  <c:v>6182385.3799999999</c:v>
                </c:pt>
                <c:pt idx="5">
                  <c:v>6748793.580000001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2-4D96-8B93-6241EBED54BF}"/>
            </c:ext>
          </c:extLst>
        </c:ser>
        <c:ser>
          <c:idx val="1"/>
          <c:order val="1"/>
          <c:tx>
            <c:strRef>
              <c:f>'10H'!$U$31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E3365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'10H'!$V$25:$AA$25</c:f>
              <c:strCache>
                <c:ptCount val="6"/>
                <c:pt idx="0">
                  <c:v>FY - 2013</c:v>
                </c:pt>
                <c:pt idx="1">
                  <c:v>FY - 2014</c:v>
                </c:pt>
                <c:pt idx="2">
                  <c:v>FY - 2015</c:v>
                </c:pt>
                <c:pt idx="3">
                  <c:v>FY - 2016</c:v>
                </c:pt>
                <c:pt idx="4">
                  <c:v>FY - 2017</c:v>
                </c:pt>
                <c:pt idx="5">
                  <c:v>FY - 2018</c:v>
                </c:pt>
              </c:strCache>
            </c:strRef>
          </c:cat>
          <c:val>
            <c:numRef>
              <c:f>'10H'!$V$31:$AA$31</c:f>
              <c:numCache>
                <c:formatCode>"$"#,##0_);[Red]\("$"#,##0\)</c:formatCode>
                <c:ptCount val="6"/>
                <c:pt idx="0">
                  <c:v>6160506.46</c:v>
                </c:pt>
                <c:pt idx="1">
                  <c:v>6790872.1800000006</c:v>
                </c:pt>
                <c:pt idx="2">
                  <c:v>6397856.4300000006</c:v>
                </c:pt>
                <c:pt idx="3">
                  <c:v>6647447.6200000001</c:v>
                </c:pt>
                <c:pt idx="4">
                  <c:v>6233661.7600000016</c:v>
                </c:pt>
                <c:pt idx="5">
                  <c:v>6231242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2-4D96-8B93-6241EBED5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429072"/>
        <c:axId val="693429464"/>
      </c:barChart>
      <c:catAx>
        <c:axId val="69342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29464"/>
        <c:crosses val="autoZero"/>
        <c:auto val="1"/>
        <c:lblAlgn val="ctr"/>
        <c:lblOffset val="100"/>
        <c:noMultiLvlLbl val="0"/>
      </c:catAx>
      <c:valAx>
        <c:axId val="69342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2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FY Surplus/Deficit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'10P'!$U$26</c:f>
              <c:strCache>
                <c:ptCount val="1"/>
                <c:pt idx="0">
                  <c:v>Surplus/Deficit</c:v>
                </c:pt>
              </c:strCache>
            </c:strRef>
          </c:tx>
          <c:spPr>
            <a:solidFill>
              <a:srgbClr val="0031CD"/>
            </a:solidFill>
            <a:ln>
              <a:noFill/>
            </a:ln>
            <a:effectLst/>
          </c:spPr>
          <c:invertIfNegative val="0"/>
          <c:cat>
            <c:strRef>
              <c:f>'10P'!$V$25:$AA$25</c:f>
              <c:strCache>
                <c:ptCount val="6"/>
                <c:pt idx="0">
                  <c:v>FY - 2018</c:v>
                </c:pt>
                <c:pt idx="1">
                  <c:v>FY - 2019</c:v>
                </c:pt>
                <c:pt idx="2">
                  <c:v>FY - 2020</c:v>
                </c:pt>
                <c:pt idx="3">
                  <c:v>FY - 2021</c:v>
                </c:pt>
                <c:pt idx="4">
                  <c:v>FY - 2022</c:v>
                </c:pt>
                <c:pt idx="5">
                  <c:v>FY - 2023</c:v>
                </c:pt>
              </c:strCache>
            </c:strRef>
          </c:cat>
          <c:val>
            <c:numRef>
              <c:f>'10P'!$V$26:$AA$26</c:f>
              <c:numCache>
                <c:formatCode>"$"#,##0_);[Red]\("$"#,##0\)</c:formatCode>
                <c:ptCount val="6"/>
                <c:pt idx="0">
                  <c:v>517551.58000000101</c:v>
                </c:pt>
                <c:pt idx="1">
                  <c:v>487460.49000000022</c:v>
                </c:pt>
                <c:pt idx="2">
                  <c:v>413938.33000000194</c:v>
                </c:pt>
                <c:pt idx="3">
                  <c:v>351697.84000000078</c:v>
                </c:pt>
                <c:pt idx="4">
                  <c:v>288651.89999999944</c:v>
                </c:pt>
                <c:pt idx="5">
                  <c:v>282928.18999999948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7-40CF-B11F-28CE54CAD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430248"/>
        <c:axId val="692739400"/>
      </c:barChart>
      <c:catAx>
        <c:axId val="69343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39400"/>
        <c:crosses val="autoZero"/>
        <c:auto val="1"/>
        <c:lblAlgn val="ctr"/>
        <c:lblOffset val="100"/>
        <c:noMultiLvlLbl val="0"/>
      </c:catAx>
      <c:valAx>
        <c:axId val="69273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3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Fund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'10P'!$U$28</c:f>
              <c:strCache>
                <c:ptCount val="1"/>
                <c:pt idx="0">
                  <c:v>Fund Balance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cat>
            <c:strRef>
              <c:f>'10P'!$V$25:$AA$25</c:f>
              <c:strCache>
                <c:ptCount val="6"/>
                <c:pt idx="0">
                  <c:v>FY - 2018</c:v>
                </c:pt>
                <c:pt idx="1">
                  <c:v>FY - 2019</c:v>
                </c:pt>
                <c:pt idx="2">
                  <c:v>FY - 2020</c:v>
                </c:pt>
                <c:pt idx="3">
                  <c:v>FY - 2021</c:v>
                </c:pt>
                <c:pt idx="4">
                  <c:v>FY - 2022</c:v>
                </c:pt>
                <c:pt idx="5">
                  <c:v>FY - 2023</c:v>
                </c:pt>
              </c:strCache>
            </c:strRef>
          </c:cat>
          <c:val>
            <c:numRef>
              <c:f>'10P'!$V$28:$AA$28</c:f>
              <c:numCache>
                <c:formatCode>"$"#,##0_);[Red]\("$"#,##0\)</c:formatCode>
                <c:ptCount val="6"/>
                <c:pt idx="0">
                  <c:v>1028091.830000001</c:v>
                </c:pt>
                <c:pt idx="1">
                  <c:v>1515552.3200000012</c:v>
                </c:pt>
                <c:pt idx="2">
                  <c:v>1929490.6500000032</c:v>
                </c:pt>
                <c:pt idx="3">
                  <c:v>2281188.4900000039</c:v>
                </c:pt>
                <c:pt idx="4">
                  <c:v>2569840.3900000034</c:v>
                </c:pt>
                <c:pt idx="5">
                  <c:v>2852768.5800000029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5-472E-B959-9BE0A739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740576"/>
        <c:axId val="692740968"/>
      </c:barChart>
      <c:catAx>
        <c:axId val="6927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0968"/>
        <c:crosses val="autoZero"/>
        <c:auto val="1"/>
        <c:lblAlgn val="ctr"/>
        <c:lblOffset val="100"/>
        <c:noMultiLvlLbl val="0"/>
      </c:catAx>
      <c:valAx>
        <c:axId val="69274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Revenues</a:t>
            </a:r>
            <a:r>
              <a:rPr lang="en-US" sz="1600" b="1" baseline="0">
                <a:solidFill>
                  <a:sysClr val="windowText" lastClr="000000"/>
                </a:solidFill>
              </a:rPr>
              <a:t> vs. Expenditures</a:t>
            </a:r>
            <a:endParaRPr lang="en-US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'10P'!$U$30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rgbClr val="748299"/>
            </a:solidFill>
            <a:ln>
              <a:noFill/>
            </a:ln>
            <a:effectLst/>
          </c:spPr>
          <c:invertIfNegative val="0"/>
          <c:cat>
            <c:strRef>
              <c:f>'10P'!$V$25:$AA$25</c:f>
              <c:strCache>
                <c:ptCount val="6"/>
                <c:pt idx="0">
                  <c:v>FY - 2018</c:v>
                </c:pt>
                <c:pt idx="1">
                  <c:v>FY - 2019</c:v>
                </c:pt>
                <c:pt idx="2">
                  <c:v>FY - 2020</c:v>
                </c:pt>
                <c:pt idx="3">
                  <c:v>FY - 2021</c:v>
                </c:pt>
                <c:pt idx="4">
                  <c:v>FY - 2022</c:v>
                </c:pt>
                <c:pt idx="5">
                  <c:v>FY - 2023</c:v>
                </c:pt>
              </c:strCache>
            </c:strRef>
          </c:cat>
          <c:val>
            <c:numRef>
              <c:f>'10P'!$V$30:$AA$30</c:f>
              <c:numCache>
                <c:formatCode>"$"#,##0_);[Red]\("$"#,##0\)</c:formatCode>
                <c:ptCount val="6"/>
                <c:pt idx="0">
                  <c:v>6748793.580000001</c:v>
                </c:pt>
                <c:pt idx="1">
                  <c:v>6838666.9400000004</c:v>
                </c:pt>
                <c:pt idx="2">
                  <c:v>6843565.7500000009</c:v>
                </c:pt>
                <c:pt idx="3">
                  <c:v>6855832.9300000006</c:v>
                </c:pt>
                <c:pt idx="4">
                  <c:v>6885698.3399999999</c:v>
                </c:pt>
                <c:pt idx="5">
                  <c:v>6964208.8099999996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EBF-984F-C002D72A178E}"/>
            </c:ext>
          </c:extLst>
        </c:ser>
        <c:ser>
          <c:idx val="1"/>
          <c:order val="1"/>
          <c:tx>
            <c:strRef>
              <c:f>'10P'!$U$31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E33655"/>
            </a:solidFill>
            <a:ln>
              <a:noFill/>
            </a:ln>
            <a:effectLst/>
          </c:spPr>
          <c:invertIfNegative val="0"/>
          <c:cat>
            <c:strRef>
              <c:f>'10P'!$V$25:$AA$25</c:f>
              <c:strCache>
                <c:ptCount val="6"/>
                <c:pt idx="0">
                  <c:v>FY - 2018</c:v>
                </c:pt>
                <c:pt idx="1">
                  <c:v>FY - 2019</c:v>
                </c:pt>
                <c:pt idx="2">
                  <c:v>FY - 2020</c:v>
                </c:pt>
                <c:pt idx="3">
                  <c:v>FY - 2021</c:v>
                </c:pt>
                <c:pt idx="4">
                  <c:v>FY - 2022</c:v>
                </c:pt>
                <c:pt idx="5">
                  <c:v>FY - 2023</c:v>
                </c:pt>
              </c:strCache>
            </c:strRef>
          </c:cat>
          <c:val>
            <c:numRef>
              <c:f>'10P'!$V$31:$AA$31</c:f>
              <c:numCache>
                <c:formatCode>"$"#,##0_);[Red]\("$"#,##0\)</c:formatCode>
                <c:ptCount val="6"/>
                <c:pt idx="0">
                  <c:v>6231242</c:v>
                </c:pt>
                <c:pt idx="1">
                  <c:v>6351206.4500000002</c:v>
                </c:pt>
                <c:pt idx="2">
                  <c:v>6429627.419999999</c:v>
                </c:pt>
                <c:pt idx="3">
                  <c:v>6504135.0899999999</c:v>
                </c:pt>
                <c:pt idx="4">
                  <c:v>6597046.4400000004</c:v>
                </c:pt>
                <c:pt idx="5">
                  <c:v>6681280.6200000001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4-4EBF-984F-C002D72A1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740184"/>
        <c:axId val="692741752"/>
      </c:barChart>
      <c:catAx>
        <c:axId val="6927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1752"/>
        <c:crosses val="autoZero"/>
        <c:auto val="1"/>
        <c:lblAlgn val="ctr"/>
        <c:lblOffset val="100"/>
        <c:noMultiLvlLbl val="0"/>
      </c:catAx>
      <c:valAx>
        <c:axId val="69274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'MISC REVENUE'!$B$28</c:f>
              <c:strCache>
                <c:ptCount val="1"/>
                <c:pt idx="0">
                  <c:v>Miscellaneous Revenue</c:v>
                </c:pt>
              </c:strCache>
            </c:strRef>
          </c:tx>
          <c:spPr>
            <a:solidFill>
              <a:srgbClr val="013E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('MISC REVENUE'!$C$6,'MISC REVENUE'!$D$6,'MISC REVENUE'!$E$6,'MISC REVENUE'!$F$6,'MISC REVENUE'!$G$6,'MISC REVENUE'!$H$6,'MISC REVENUE'!$I$6,'MISC REVENUE'!$J$6)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('MISC REVENUE'!$C$28,'MISC REVENUE'!$D$28,'MISC REVENUE'!$E$28,'MISC REVENUE'!$F$28,'MISC REVENUE'!$G$28,'MISC REVENUE'!$H$28,'MISC REVENUE'!$I$28,'MISC REVENUE'!$J$28)</c:f>
              <c:numCache>
                <c:formatCode>#,##0_);[Red]\(#,##0\)</c:formatCode>
                <c:ptCount val="8"/>
                <c:pt idx="0">
                  <c:v>684859.69999999925</c:v>
                </c:pt>
                <c:pt idx="1">
                  <c:v>780013.34000000264</c:v>
                </c:pt>
                <c:pt idx="2">
                  <c:v>611551.58000000101</c:v>
                </c:pt>
                <c:pt idx="3">
                  <c:v>619384.93999999948</c:v>
                </c:pt>
                <c:pt idx="4">
                  <c:v>626961.4000000013</c:v>
                </c:pt>
                <c:pt idx="5">
                  <c:v>634636.8599999994</c:v>
                </c:pt>
                <c:pt idx="6">
                  <c:v>642410.15999999922</c:v>
                </c:pt>
                <c:pt idx="7">
                  <c:v>650282.10999999847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7-4972-8191-D91BEE4B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742536"/>
        <c:axId val="692742928"/>
      </c:barChart>
      <c:catAx>
        <c:axId val="69274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2928"/>
        <c:crosses val="autoZero"/>
        <c:auto val="1"/>
        <c:lblAlgn val="ctr"/>
        <c:lblOffset val="100"/>
        <c:noMultiLvlLbl val="0"/>
      </c:catAx>
      <c:valAx>
        <c:axId val="69274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4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26272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Admin2!$AA$78</c:f>
              <c:strCache>
                <c:ptCount val="1"/>
                <c:pt idx="0">
                  <c:v>Miscellaneous Surplus/Deficit Per Year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dLbls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Admin2!$AB$75:$AI$75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Admin2!$AB$78:$AI$78</c:f>
              <c:numCache>
                <c:formatCode>General</c:formatCode>
                <c:ptCount val="8"/>
                <c:pt idx="0">
                  <c:v>244962.69999999925</c:v>
                </c:pt>
                <c:pt idx="1">
                  <c:v>95153.64000000339</c:v>
                </c:pt>
                <c:pt idx="2">
                  <c:v>-168461.76000000164</c:v>
                </c:pt>
                <c:pt idx="3">
                  <c:v>7833.3599999984726</c:v>
                </c:pt>
                <c:pt idx="4">
                  <c:v>7576.4600000018254</c:v>
                </c:pt>
                <c:pt idx="5">
                  <c:v>7675.4599999981001</c:v>
                </c:pt>
                <c:pt idx="6">
                  <c:v>7773.2999999998137</c:v>
                </c:pt>
                <c:pt idx="7">
                  <c:v>7871.9499999992549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0E-A0E8-C15C787C1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099832"/>
        <c:axId val="693100224"/>
      </c:barChart>
      <c:catAx>
        <c:axId val="69309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00224"/>
        <c:crosses val="autoZero"/>
        <c:auto val="1"/>
        <c:lblAlgn val="ctr"/>
        <c:lblOffset val="100"/>
        <c:noMultiLvlLbl val="0"/>
      </c:catAx>
      <c:valAx>
        <c:axId val="69310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09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26272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Property Tax Rate</a:t>
            </a:r>
            <a:r>
              <a:rPr lang="en-US" b="1" baseline="0">
                <a:solidFill>
                  <a:sysClr val="windowText" lastClr="000000"/>
                </a:solidFill>
              </a:rPr>
              <a:t> Summary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TaxRates!$B$10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013EFF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TaxRates!$C$10:$M$10</c:f>
              <c:numCache>
                <c:formatCode>0.0000</c:formatCode>
                <c:ptCount val="11"/>
                <c:pt idx="0">
                  <c:v>8.7342200000000005</c:v>
                </c:pt>
                <c:pt idx="1">
                  <c:v>9.1182300000000005</c:v>
                </c:pt>
                <c:pt idx="2">
                  <c:v>9.5577100000000002</c:v>
                </c:pt>
                <c:pt idx="3">
                  <c:v>10.35399</c:v>
                </c:pt>
                <c:pt idx="4">
                  <c:v>10.2136</c:v>
                </c:pt>
                <c:pt idx="5">
                  <c:v>10.63008</c:v>
                </c:pt>
                <c:pt idx="6">
                  <c:v>10.8139</c:v>
                </c:pt>
                <c:pt idx="7">
                  <c:v>10.852309999999999</c:v>
                </c:pt>
                <c:pt idx="8">
                  <c:v>10.92817</c:v>
                </c:pt>
                <c:pt idx="9">
                  <c:v>10.95269</c:v>
                </c:pt>
                <c:pt idx="10">
                  <c:v>11.010060000000001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4-4DF1-9B3E-823B1D0EA40C}"/>
            </c:ext>
          </c:extLst>
        </c:ser>
        <c:ser>
          <c:idx val="1"/>
          <c:order val="1"/>
          <c:tx>
            <c:strRef>
              <c:f>TaxRates!$B$11</c:f>
              <c:strCache>
                <c:ptCount val="1"/>
                <c:pt idx="0">
                  <c:v>Management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TaxRates!$C$11:$M$11</c:f>
              <c:numCache>
                <c:formatCode>0.0000</c:formatCode>
                <c:ptCount val="11"/>
                <c:pt idx="0">
                  <c:v>1.1160000000000001</c:v>
                </c:pt>
                <c:pt idx="1">
                  <c:v>1.2163999999999999</c:v>
                </c:pt>
                <c:pt idx="2">
                  <c:v>0.83916000000000002</c:v>
                </c:pt>
                <c:pt idx="3">
                  <c:v>0.79351000000000005</c:v>
                </c:pt>
                <c:pt idx="4">
                  <c:v>0.38315113130467432</c:v>
                </c:pt>
                <c:pt idx="5">
                  <c:v>0.37029683901842975</c:v>
                </c:pt>
                <c:pt idx="6">
                  <c:v>0.62914511585496991</c:v>
                </c:pt>
                <c:pt idx="7">
                  <c:v>0.61082050016914491</c:v>
                </c:pt>
                <c:pt idx="8">
                  <c:v>0.59302961261855325</c:v>
                </c:pt>
                <c:pt idx="9">
                  <c:v>0.57575690598529961</c:v>
                </c:pt>
                <c:pt idx="10">
                  <c:v>0.55898728675729037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4-4DF1-9B3E-823B1D0EA40C}"/>
            </c:ext>
          </c:extLst>
        </c:ser>
        <c:ser>
          <c:idx val="2"/>
          <c:order val="2"/>
          <c:tx>
            <c:strRef>
              <c:f>TaxRates!$B$12</c:f>
              <c:strCache>
                <c:ptCount val="1"/>
                <c:pt idx="0">
                  <c:v>Regular PPEL</c:v>
                </c:pt>
              </c:strCache>
            </c:strRef>
          </c:tx>
          <c:spPr>
            <a:solidFill>
              <a:srgbClr val="B1A299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TaxRates!$C$12:$M$12</c:f>
              <c:numCache>
                <c:formatCode>0.0000</c:formatCode>
                <c:ptCount val="11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0.31868999999999997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0.33</c:v>
                </c:pt>
                <c:pt idx="9">
                  <c:v>0.33</c:v>
                </c:pt>
                <c:pt idx="10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44-4DF1-9B3E-823B1D0EA40C}"/>
            </c:ext>
          </c:extLst>
        </c:ser>
        <c:ser>
          <c:idx val="3"/>
          <c:order val="3"/>
          <c:tx>
            <c:strRef>
              <c:f>TaxRates!$B$13</c:f>
              <c:strCache>
                <c:ptCount val="1"/>
                <c:pt idx="0">
                  <c:v>Voted PPEL</c:v>
                </c:pt>
              </c:strCache>
            </c:strRef>
          </c:tx>
          <c:spPr>
            <a:solidFill>
              <a:srgbClr val="E33655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TaxRates!$C$13:$M$13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4-4DF1-9B3E-823B1D0EA40C}"/>
            </c:ext>
          </c:extLst>
        </c:ser>
        <c:ser>
          <c:idx val="4"/>
          <c:order val="4"/>
          <c:tx>
            <c:strRef>
              <c:f>TaxRates!$B$14</c:f>
              <c:strCache>
                <c:ptCount val="1"/>
                <c:pt idx="0">
                  <c:v>PERL</c:v>
                </c:pt>
              </c:strCache>
            </c:strRef>
          </c:tx>
          <c:spPr>
            <a:solidFill>
              <a:srgbClr val="748299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TaxRates!$C$14:$M$14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44-4DF1-9B3E-823B1D0EA40C}"/>
            </c:ext>
          </c:extLst>
        </c:ser>
        <c:ser>
          <c:idx val="5"/>
          <c:order val="5"/>
          <c:tx>
            <c:strRef>
              <c:f>TaxRates!$B$15</c:f>
              <c:strCache>
                <c:ptCount val="1"/>
                <c:pt idx="0">
                  <c:v>Library</c:v>
                </c:pt>
              </c:strCache>
            </c:strRef>
          </c:tx>
          <c:spPr>
            <a:solidFill>
              <a:srgbClr val="A7C8D4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TaxRates!$C$15:$M$15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44-4DF1-9B3E-823B1D0EA40C}"/>
            </c:ext>
          </c:extLst>
        </c:ser>
        <c:ser>
          <c:idx val="6"/>
          <c:order val="6"/>
          <c:tx>
            <c:strRef>
              <c:f>TaxRates!$B$16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rgbClr val="659F65"/>
            </a:solidFill>
            <a:ln>
              <a:noFill/>
            </a:ln>
            <a:effectLst/>
          </c:spPr>
          <c:invertIfNegative val="0"/>
          <c:cat>
            <c:strRef>
              <c:f>TaxRates!$C$8:$M$8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TaxRates!$C$16:$M$16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2.2469468423391783</c:v>
                </c:pt>
                <c:pt idx="7">
                  <c:v>2.2268770234737967</c:v>
                </c:pt>
                <c:pt idx="8">
                  <c:v>2.1687940118621376</c:v>
                </c:pt>
                <c:pt idx="9">
                  <c:v>2.1615559270419538</c:v>
                </c:pt>
                <c:pt idx="10">
                  <c:v>2.1209574766105188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44-4DF1-9B3E-823B1D0EA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overlap val="-27"/>
        <c:axId val="693101008"/>
        <c:axId val="693101400"/>
      </c:barChart>
      <c:catAx>
        <c:axId val="69310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01400"/>
        <c:crosses val="autoZero"/>
        <c:auto val="1"/>
        <c:lblAlgn val="ctr"/>
        <c:lblOffset val="100"/>
        <c:noMultiLvlLbl val="0"/>
      </c:catAx>
      <c:valAx>
        <c:axId val="69310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0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207131</xdr:colOff>
      <xdr:row>35</xdr:row>
      <xdr:rowOff>141513</xdr:rowOff>
    </xdr:from>
    <xdr:to>
      <xdr:col>5</xdr:col>
      <xdr:colOff>762302</xdr:colOff>
      <xdr:row>55</xdr:row>
      <xdr:rowOff>12191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787399</xdr:colOff>
      <xdr:row>35</xdr:row>
      <xdr:rowOff>112485</xdr:rowOff>
    </xdr:from>
    <xdr:to>
      <xdr:col>13</xdr:col>
      <xdr:colOff>477156</xdr:colOff>
      <xdr:row>54</xdr:row>
      <xdr:rowOff>146449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297846</xdr:colOff>
      <xdr:row>55</xdr:row>
      <xdr:rowOff>156028</xdr:rowOff>
    </xdr:from>
    <xdr:to>
      <xdr:col>13</xdr:col>
      <xdr:colOff>406399</xdr:colOff>
      <xdr:row>75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182032</xdr:colOff>
      <xdr:row>35</xdr:row>
      <xdr:rowOff>124126</xdr:rowOff>
    </xdr:from>
    <xdr:to>
      <xdr:col>5</xdr:col>
      <xdr:colOff>737203</xdr:colOff>
      <xdr:row>54</xdr:row>
      <xdr:rowOff>158090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804938</xdr:colOff>
      <xdr:row>35</xdr:row>
      <xdr:rowOff>112936</xdr:rowOff>
    </xdr:from>
    <xdr:to>
      <xdr:col>13</xdr:col>
      <xdr:colOff>496509</xdr:colOff>
      <xdr:row>54</xdr:row>
      <xdr:rowOff>146900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286505</xdr:colOff>
      <xdr:row>55</xdr:row>
      <xdr:rowOff>145897</xdr:rowOff>
    </xdr:from>
    <xdr:to>
      <xdr:col>13</xdr:col>
      <xdr:colOff>397757</xdr:colOff>
      <xdr:row>75</xdr:row>
      <xdr:rowOff>16575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1120140</xdr:colOff>
      <xdr:row>34</xdr:row>
      <xdr:rowOff>160020</xdr:rowOff>
    </xdr:from>
    <xdr:to>
      <xdr:col>9</xdr:col>
      <xdr:colOff>894588</xdr:colOff>
      <xdr:row>55</xdr:row>
      <xdr:rowOff>9144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1127760</xdr:colOff>
      <xdr:row>56</xdr:row>
      <xdr:rowOff>137160</xdr:rowOff>
    </xdr:from>
    <xdr:to>
      <xdr:col>9</xdr:col>
      <xdr:colOff>902208</xdr:colOff>
      <xdr:row>76</xdr:row>
      <xdr:rowOff>161544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927846</xdr:colOff>
      <xdr:row>38</xdr:row>
      <xdr:rowOff>7563</xdr:rowOff>
    </xdr:from>
    <xdr:to>
      <xdr:col>13</xdr:col>
      <xdr:colOff>44823</xdr:colOff>
      <xdr:row>51</xdr:row>
      <xdr:rowOff>143436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909918</xdr:colOff>
      <xdr:row>52</xdr:row>
      <xdr:rowOff>96372</xdr:rowOff>
    </xdr:from>
    <xdr:to>
      <xdr:col>13</xdr:col>
      <xdr:colOff>17930</xdr:colOff>
      <xdr:row>66</xdr:row>
      <xdr:rowOff>40342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903195</xdr:colOff>
      <xdr:row>66</xdr:row>
      <xdr:rowOff>156883</xdr:rowOff>
    </xdr:from>
    <xdr:to>
      <xdr:col>13</xdr:col>
      <xdr:colOff>2242</xdr:colOff>
      <xdr:row>82</xdr:row>
      <xdr:rowOff>123265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157840</xdr:colOff>
      <xdr:row>12</xdr:row>
      <xdr:rowOff>191179</xdr:rowOff>
    </xdr:from>
    <xdr:to>
      <xdr:col>6</xdr:col>
      <xdr:colOff>419098</xdr:colOff>
      <xdr:row>30</xdr:row>
      <xdr:rowOff>193791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522059</xdr:colOff>
      <xdr:row>13</xdr:row>
      <xdr:rowOff>6122</xdr:rowOff>
    </xdr:from>
    <xdr:to>
      <xdr:col>14</xdr:col>
      <xdr:colOff>463550</xdr:colOff>
      <xdr:row>31</xdr:row>
      <xdr:rowOff>10885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281589</xdr:colOff>
      <xdr:row>17</xdr:row>
      <xdr:rowOff>153320</xdr:rowOff>
    </xdr:from>
    <xdr:to>
      <xdr:col>13</xdr:col>
      <xdr:colOff>285750</xdr:colOff>
      <xdr:row>30</xdr:row>
      <xdr:rowOff>137299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295274</xdr:colOff>
      <xdr:row>31</xdr:row>
      <xdr:rowOff>115060</xdr:rowOff>
    </xdr:from>
    <xdr:to>
      <xdr:col>13</xdr:col>
      <xdr:colOff>299084</xdr:colOff>
      <xdr:row>44</xdr:row>
      <xdr:rowOff>176401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450:M543"/>
  <sheetViews>
    <sheetView workbookViewId="0">
      <selection activeCell="B511" sqref="B511"/>
    </sheetView>
  </sheetViews>
  <sheetFormatPr defaultRowHeight="15" x14ac:dyDescent="0.25"/>
  <cols>
    <col min="1" max="1" width="9.7109375" bestFit="1" customWidth="1" collapsed="1"/>
    <col min="2" max="2" width="75" bestFit="1" customWidth="1" collapsed="1"/>
    <col min="3" max="13" width="12" bestFit="1" customWidth="1" collapsed="1"/>
  </cols>
  <sheetData>
    <row r="450" spans="2:13" x14ac:dyDescent="0.2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</row>
    <row r="451" spans="2:13" x14ac:dyDescent="0.2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</row>
    <row r="453" spans="2:13" x14ac:dyDescent="0.2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</row>
    <row r="454" spans="2:13" x14ac:dyDescent="0.2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</row>
    <row r="500" spans="1:2" x14ac:dyDescent="0.25">
      <c r="B500" s="24"/>
    </row>
    <row r="501" spans="1:2" x14ac:dyDescent="0.25">
      <c r="A501" t="str">
        <f>IF(LEFT(B501,1)="3",IF(LEFT(B501,2)="36","36","30"),IF(LEFT(B501,1)="4","40",LEFT(B501,2)))</f>
        <v/>
      </c>
    </row>
    <row r="502" spans="1:2" x14ac:dyDescent="0.25">
      <c r="A502" t="str">
        <f t="shared" ref="A502:A543" si="0">IF(LEFT(B502,1)="3",IF(LEFT(B502,2)="36","36","30"),IF(LEFT(B502,1)="4","40",LEFT(B502,2)))</f>
        <v/>
      </c>
    </row>
    <row r="503" spans="1:2" x14ac:dyDescent="0.25">
      <c r="A503" t="str">
        <f t="shared" si="0"/>
        <v/>
      </c>
    </row>
    <row r="504" spans="1:2" x14ac:dyDescent="0.25">
      <c r="A504" t="str">
        <f t="shared" si="0"/>
        <v/>
      </c>
    </row>
    <row r="505" spans="1:2" x14ac:dyDescent="0.25">
      <c r="A505" t="str">
        <f t="shared" si="0"/>
        <v/>
      </c>
    </row>
    <row r="506" spans="1:2" x14ac:dyDescent="0.25">
      <c r="A506" t="str">
        <f t="shared" si="0"/>
        <v/>
      </c>
    </row>
    <row r="507" spans="1:2" x14ac:dyDescent="0.25">
      <c r="A507" t="str">
        <f t="shared" si="0"/>
        <v/>
      </c>
    </row>
    <row r="508" spans="1:2" x14ac:dyDescent="0.25">
      <c r="A508" t="str">
        <f t="shared" si="0"/>
        <v/>
      </c>
    </row>
    <row r="509" spans="1:2" x14ac:dyDescent="0.25">
      <c r="A509" t="str">
        <f t="shared" si="0"/>
        <v/>
      </c>
    </row>
    <row r="510" spans="1:2" x14ac:dyDescent="0.25">
      <c r="A510" t="str">
        <f t="shared" si="0"/>
        <v/>
      </c>
    </row>
    <row r="511" spans="1:2" x14ac:dyDescent="0.25">
      <c r="A511" t="str">
        <f t="shared" si="0"/>
        <v/>
      </c>
    </row>
    <row r="512" spans="1:2" x14ac:dyDescent="0.25">
      <c r="A512" t="str">
        <f t="shared" si="0"/>
        <v/>
      </c>
    </row>
    <row r="513" spans="1:1" x14ac:dyDescent="0.25">
      <c r="A513" t="str">
        <f t="shared" si="0"/>
        <v/>
      </c>
    </row>
    <row r="514" spans="1:1" x14ac:dyDescent="0.25">
      <c r="A514" t="str">
        <f t="shared" si="0"/>
        <v/>
      </c>
    </row>
    <row r="515" spans="1:1" x14ac:dyDescent="0.25">
      <c r="A515" t="str">
        <f t="shared" si="0"/>
        <v/>
      </c>
    </row>
    <row r="516" spans="1:1" x14ac:dyDescent="0.25">
      <c r="A516" t="str">
        <f t="shared" si="0"/>
        <v/>
      </c>
    </row>
    <row r="517" spans="1:1" x14ac:dyDescent="0.25">
      <c r="A517" t="str">
        <f t="shared" si="0"/>
        <v/>
      </c>
    </row>
    <row r="518" spans="1:1" x14ac:dyDescent="0.25">
      <c r="A518" t="str">
        <f t="shared" si="0"/>
        <v/>
      </c>
    </row>
    <row r="519" spans="1:1" x14ac:dyDescent="0.25">
      <c r="A519" t="str">
        <f t="shared" si="0"/>
        <v/>
      </c>
    </row>
    <row r="520" spans="1:1" x14ac:dyDescent="0.25">
      <c r="A520" t="str">
        <f t="shared" si="0"/>
        <v/>
      </c>
    </row>
    <row r="521" spans="1:1" x14ac:dyDescent="0.25">
      <c r="A521" t="str">
        <f t="shared" si="0"/>
        <v/>
      </c>
    </row>
    <row r="522" spans="1:1" x14ac:dyDescent="0.25">
      <c r="A522" t="str">
        <f t="shared" si="0"/>
        <v/>
      </c>
    </row>
    <row r="523" spans="1:1" x14ac:dyDescent="0.25">
      <c r="A523" t="str">
        <f t="shared" si="0"/>
        <v/>
      </c>
    </row>
    <row r="524" spans="1:1" x14ac:dyDescent="0.25">
      <c r="A524" t="str">
        <f t="shared" si="0"/>
        <v/>
      </c>
    </row>
    <row r="525" spans="1:1" x14ac:dyDescent="0.25">
      <c r="A525" t="str">
        <f t="shared" si="0"/>
        <v/>
      </c>
    </row>
    <row r="526" spans="1:1" x14ac:dyDescent="0.25">
      <c r="A526" t="str">
        <f t="shared" si="0"/>
        <v/>
      </c>
    </row>
    <row r="527" spans="1:1" x14ac:dyDescent="0.25">
      <c r="A527" t="str">
        <f t="shared" si="0"/>
        <v/>
      </c>
    </row>
    <row r="528" spans="1:1" x14ac:dyDescent="0.25">
      <c r="A528" t="str">
        <f t="shared" si="0"/>
        <v/>
      </c>
    </row>
    <row r="529" spans="1:1" x14ac:dyDescent="0.25">
      <c r="A529" t="str">
        <f t="shared" si="0"/>
        <v/>
      </c>
    </row>
    <row r="530" spans="1:1" x14ac:dyDescent="0.25">
      <c r="A530" t="str">
        <f t="shared" si="0"/>
        <v/>
      </c>
    </row>
    <row r="531" spans="1:1" x14ac:dyDescent="0.25">
      <c r="A531" t="str">
        <f t="shared" si="0"/>
        <v/>
      </c>
    </row>
    <row r="532" spans="1:1" x14ac:dyDescent="0.25">
      <c r="A532" t="str">
        <f t="shared" si="0"/>
        <v/>
      </c>
    </row>
    <row r="533" spans="1:1" x14ac:dyDescent="0.25">
      <c r="A533" t="str">
        <f t="shared" si="0"/>
        <v/>
      </c>
    </row>
    <row r="534" spans="1:1" x14ac:dyDescent="0.25">
      <c r="A534" t="str">
        <f t="shared" si="0"/>
        <v/>
      </c>
    </row>
    <row r="535" spans="1:1" x14ac:dyDescent="0.25">
      <c r="A535" t="str">
        <f t="shared" si="0"/>
        <v/>
      </c>
    </row>
    <row r="536" spans="1:1" x14ac:dyDescent="0.25">
      <c r="A536" t="str">
        <f t="shared" si="0"/>
        <v/>
      </c>
    </row>
    <row r="537" spans="1:1" x14ac:dyDescent="0.25">
      <c r="A537" t="str">
        <f t="shared" si="0"/>
        <v/>
      </c>
    </row>
    <row r="538" spans="1:1" x14ac:dyDescent="0.25">
      <c r="A538" t="str">
        <f t="shared" si="0"/>
        <v/>
      </c>
    </row>
    <row r="539" spans="1:1" x14ac:dyDescent="0.25">
      <c r="A539" t="str">
        <f t="shared" si="0"/>
        <v/>
      </c>
    </row>
    <row r="540" spans="1:1" x14ac:dyDescent="0.25">
      <c r="A540" t="str">
        <f t="shared" si="0"/>
        <v/>
      </c>
    </row>
    <row r="541" spans="1:1" x14ac:dyDescent="0.25">
      <c r="A541" t="str">
        <f t="shared" si="0"/>
        <v/>
      </c>
    </row>
    <row r="542" spans="1:1" x14ac:dyDescent="0.25">
      <c r="A542" t="str">
        <f t="shared" si="0"/>
        <v/>
      </c>
    </row>
    <row r="543" spans="1:1" x14ac:dyDescent="0.25">
      <c r="A543" t="str">
        <f t="shared" si="0"/>
        <v/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K14"/>
  <sheetViews>
    <sheetView workbookViewId="0">
      <selection activeCell="I1" sqref="I1"/>
    </sheetView>
  </sheetViews>
  <sheetFormatPr defaultColWidth="8.85546875" defaultRowHeight="12.75" x14ac:dyDescent="0.2"/>
  <cols>
    <col min="1" max="1" width="8.85546875" style="56" collapsed="1"/>
    <col min="2" max="2" width="52.28515625" style="56" customWidth="1" collapsed="1"/>
    <col min="3" max="4" width="11.7109375" style="56" customWidth="1"/>
    <col min="5" max="10" width="11.7109375" style="56" customWidth="1" collapsed="1"/>
    <col min="11" max="11" width="11.28515625" style="56" customWidth="1" collapsed="1"/>
    <col min="12" max="16384" width="8.85546875" style="56" collapsed="1"/>
  </cols>
  <sheetData>
    <row r="1" spans="2:11" ht="69.75" customHeight="1" x14ac:dyDescent="0.2"/>
    <row r="2" spans="2:11" ht="42.6" customHeight="1" x14ac:dyDescent="0.2">
      <c r="B2" s="474" t="s">
        <v>1407</v>
      </c>
      <c r="C2" s="475"/>
      <c r="D2" s="475"/>
      <c r="E2" s="475"/>
      <c r="F2" s="475"/>
      <c r="G2" s="475"/>
      <c r="H2" s="475"/>
      <c r="I2" s="475"/>
      <c r="J2" s="475"/>
      <c r="K2" s="476"/>
    </row>
    <row r="3" spans="2:11" ht="30" customHeight="1" x14ac:dyDescent="0.2">
      <c r="B3" s="477" t="s">
        <v>2236</v>
      </c>
      <c r="C3" s="478"/>
      <c r="D3" s="478"/>
      <c r="E3" s="478"/>
      <c r="F3" s="478"/>
      <c r="G3" s="478"/>
      <c r="H3" s="478"/>
      <c r="I3" s="478"/>
      <c r="J3" s="478"/>
      <c r="K3" s="479"/>
    </row>
    <row r="4" spans="2:11" ht="30" customHeight="1" x14ac:dyDescent="0.2">
      <c r="B4" s="64"/>
      <c r="C4" s="57"/>
      <c r="D4" s="57"/>
      <c r="E4" s="57"/>
      <c r="F4" s="57"/>
      <c r="G4" s="57"/>
      <c r="H4" s="57"/>
      <c r="I4" s="57"/>
      <c r="J4" s="57"/>
      <c r="K4" s="65"/>
    </row>
    <row r="5" spans="2:11" ht="13.15" customHeight="1" x14ac:dyDescent="0.2">
      <c r="B5" s="9"/>
      <c r="C5" s="483" t="s">
        <v>1423</v>
      </c>
      <c r="D5" s="484"/>
      <c r="E5" s="450" t="s">
        <v>18</v>
      </c>
      <c r="F5" s="481" t="s">
        <v>1406</v>
      </c>
      <c r="G5" s="481"/>
      <c r="H5" s="481"/>
      <c r="I5" s="481"/>
      <c r="J5" s="482"/>
      <c r="K5" s="66"/>
    </row>
    <row r="6" spans="2:11" ht="13.15" customHeight="1" x14ac:dyDescent="0.2">
      <c r="B6" s="203"/>
      <c r="C6" s="451" t="str">
        <f>RIGHT(Admin2!N2,4)</f>
        <v>2016</v>
      </c>
      <c r="D6" s="448" t="str">
        <f>RIGHT(Admin2!O2,4)</f>
        <v>2017</v>
      </c>
      <c r="E6" s="205" t="str">
        <f>RIGHT(Admin2!P2,4)</f>
        <v>2018</v>
      </c>
      <c r="F6" s="448" t="str">
        <f>RIGHT(Admin2!Q2,4)</f>
        <v>2019</v>
      </c>
      <c r="G6" s="448" t="str">
        <f>RIGHT(Admin2!R2,4)</f>
        <v>2020</v>
      </c>
      <c r="H6" s="448" t="str">
        <f>RIGHT(Admin2!S2,4)</f>
        <v>2021</v>
      </c>
      <c r="I6" s="448" t="str">
        <f>RIGHT(Admin2!T2,4)</f>
        <v>2022</v>
      </c>
      <c r="J6" s="452" t="str">
        <f>RIGHT(Admin2!U2,4)</f>
        <v>2023</v>
      </c>
      <c r="K6" s="66"/>
    </row>
    <row r="7" spans="2:11" ht="15.75" x14ac:dyDescent="0.25">
      <c r="B7" s="163" t="s">
        <v>1403</v>
      </c>
      <c r="C7" s="453"/>
      <c r="D7" s="207"/>
      <c r="E7" s="208"/>
      <c r="F7" s="208"/>
      <c r="G7" s="208"/>
      <c r="H7" s="208"/>
      <c r="I7" s="208"/>
      <c r="J7" s="454"/>
      <c r="K7" s="60"/>
    </row>
    <row r="8" spans="2:11" ht="15" x14ac:dyDescent="0.2">
      <c r="B8" s="209" t="s">
        <v>1424</v>
      </c>
      <c r="C8" s="455">
        <f>'Categorical Data'!H390</f>
        <v>1868.1300000000047</v>
      </c>
      <c r="D8" s="210">
        <f>'Categorical Data'!I390</f>
        <v>7.2759576141834259E-12</v>
      </c>
      <c r="E8" s="211">
        <f>'Categorical Data'!J390</f>
        <v>-35971.839999999989</v>
      </c>
      <c r="F8" s="211">
        <f>'Categorical Data'!K390</f>
        <v>-35971.839999999989</v>
      </c>
      <c r="G8" s="211">
        <f>'Categorical Data'!L390</f>
        <v>-35971.839999999989</v>
      </c>
      <c r="H8" s="211">
        <f>'Categorical Data'!M390</f>
        <v>-35971.839999999989</v>
      </c>
      <c r="I8" s="211">
        <f>'Categorical Data'!N390</f>
        <v>-35971.839999999989</v>
      </c>
      <c r="J8" s="456">
        <f>'Categorical Data'!O390</f>
        <v>-35971.839999999989</v>
      </c>
      <c r="K8" s="61"/>
    </row>
    <row r="9" spans="2:11" ht="15" x14ac:dyDescent="0.2">
      <c r="B9" s="209" t="s">
        <v>1404</v>
      </c>
      <c r="C9" s="455">
        <f>'Categorical Data'!H391</f>
        <v>34.780000000013388</v>
      </c>
      <c r="D9" s="210">
        <f>'Categorical Data'!I391</f>
        <v>-1.4551915228366852E-11</v>
      </c>
      <c r="E9" s="211">
        <f>'Categorical Data'!J391</f>
        <v>5069.3199999999924</v>
      </c>
      <c r="F9" s="211">
        <f>'Categorical Data'!K391</f>
        <v>5069.3199999999924</v>
      </c>
      <c r="G9" s="211">
        <f>'Categorical Data'!L391</f>
        <v>5069.3199999999924</v>
      </c>
      <c r="H9" s="211">
        <f>'Categorical Data'!M391</f>
        <v>5069.3199999999924</v>
      </c>
      <c r="I9" s="211">
        <f>'Categorical Data'!N391</f>
        <v>5069.3199999999924</v>
      </c>
      <c r="J9" s="456">
        <f>'Categorical Data'!O391</f>
        <v>5069.3199999999924</v>
      </c>
      <c r="K9" s="61"/>
    </row>
    <row r="10" spans="2:11" ht="15" x14ac:dyDescent="0.2">
      <c r="B10" s="209" t="s">
        <v>1425</v>
      </c>
      <c r="C10" s="455">
        <f>'Categorical Data'!H392</f>
        <v>25551.309999999998</v>
      </c>
      <c r="D10" s="210">
        <f>'Categorical Data'!I392</f>
        <v>10032.369999999995</v>
      </c>
      <c r="E10" s="211">
        <f>'Categorical Data'!J392</f>
        <v>-3669.3500000000058</v>
      </c>
      <c r="F10" s="211">
        <f>'Categorical Data'!K392</f>
        <v>-3669.3500000000058</v>
      </c>
      <c r="G10" s="211">
        <f>'Categorical Data'!L392</f>
        <v>-3669.3500000000058</v>
      </c>
      <c r="H10" s="211">
        <f>'Categorical Data'!M392</f>
        <v>-3669.3500000000058</v>
      </c>
      <c r="I10" s="211">
        <f>'Categorical Data'!N392</f>
        <v>-3669.3500000000058</v>
      </c>
      <c r="J10" s="456">
        <f>'Categorical Data'!O392</f>
        <v>-3669.3500000000058</v>
      </c>
      <c r="K10" s="61"/>
    </row>
    <row r="11" spans="2:11" ht="30" x14ac:dyDescent="0.2">
      <c r="B11" s="209" t="s">
        <v>1426</v>
      </c>
      <c r="C11" s="455">
        <f>'Categorical Data'!H393</f>
        <v>45493.94</v>
      </c>
      <c r="D11" s="210">
        <f>'Categorical Data'!I393</f>
        <v>46404.310000000005</v>
      </c>
      <c r="E11" s="211">
        <f>'Categorical Data'!J393</f>
        <v>38530.150000000009</v>
      </c>
      <c r="F11" s="211">
        <f>'Categorical Data'!K393</f>
        <v>30655.990000000009</v>
      </c>
      <c r="G11" s="211">
        <f>'Categorical Data'!L393</f>
        <v>22781.830000000009</v>
      </c>
      <c r="H11" s="211">
        <f>'Categorical Data'!M393</f>
        <v>14907.670000000009</v>
      </c>
      <c r="I11" s="211">
        <f>'Categorical Data'!N393</f>
        <v>7033.5100000000093</v>
      </c>
      <c r="J11" s="456">
        <f>'Categorical Data'!O393</f>
        <v>-840.64999999999054</v>
      </c>
      <c r="K11" s="61"/>
    </row>
    <row r="12" spans="2:11" ht="15" x14ac:dyDescent="0.2">
      <c r="B12" s="209" t="s">
        <v>1427</v>
      </c>
      <c r="C12" s="455">
        <f>'Categorical Data'!H394</f>
        <v>1.0231815394945443E-12</v>
      </c>
      <c r="D12" s="210">
        <f>'Categorical Data'!I394</f>
        <v>0.31000000000233285</v>
      </c>
      <c r="E12" s="211">
        <f>'Categorical Data'!J394</f>
        <v>0.31000000000233285</v>
      </c>
      <c r="F12" s="211">
        <f>'Categorical Data'!K394</f>
        <v>0.31000000000233285</v>
      </c>
      <c r="G12" s="211">
        <f>'Categorical Data'!L394</f>
        <v>0.31000000000233285</v>
      </c>
      <c r="H12" s="211">
        <f>'Categorical Data'!M394</f>
        <v>0.31000000000233285</v>
      </c>
      <c r="I12" s="211">
        <f>'Categorical Data'!N394</f>
        <v>0.31000000000233285</v>
      </c>
      <c r="J12" s="456">
        <f>'Categorical Data'!O394</f>
        <v>0.31000000000233285</v>
      </c>
      <c r="K12" s="61"/>
    </row>
    <row r="13" spans="2:11" ht="15" x14ac:dyDescent="0.2">
      <c r="B13" s="209" t="s">
        <v>643</v>
      </c>
      <c r="C13" s="457">
        <f>'Categorical Data'!H395</f>
        <v>4793.0200000000004</v>
      </c>
      <c r="D13" s="458">
        <f>'Categorical Data'!I395</f>
        <v>12946.210000000003</v>
      </c>
      <c r="E13" s="459">
        <f>'Categorical Data'!J395</f>
        <v>21153.250000000011</v>
      </c>
      <c r="F13" s="459">
        <f>'Categorical Data'!K395</f>
        <v>21153.250000000011</v>
      </c>
      <c r="G13" s="459">
        <f>'Categorical Data'!L395</f>
        <v>21153.250000000011</v>
      </c>
      <c r="H13" s="459">
        <f>'Categorical Data'!M395</f>
        <v>21153.250000000011</v>
      </c>
      <c r="I13" s="459">
        <f>'Categorical Data'!N395</f>
        <v>21153.250000000011</v>
      </c>
      <c r="J13" s="460">
        <f>'Categorical Data'!O395</f>
        <v>21153.250000000011</v>
      </c>
      <c r="K13" s="61"/>
    </row>
    <row r="14" spans="2:11" x14ac:dyDescent="0.2">
      <c r="B14" s="67"/>
      <c r="C14" s="146"/>
      <c r="D14" s="146"/>
      <c r="E14" s="62"/>
      <c r="F14" s="62"/>
      <c r="G14" s="62"/>
      <c r="H14" s="62"/>
      <c r="I14" s="62"/>
      <c r="J14" s="62"/>
      <c r="K14" s="63"/>
    </row>
  </sheetData>
  <mergeCells count="4">
    <mergeCell ref="F5:J5"/>
    <mergeCell ref="B2:K2"/>
    <mergeCell ref="B3:K3"/>
    <mergeCell ref="C5:D5"/>
  </mergeCells>
  <pageMargins left="0.7" right="0.7" top="0.75" bottom="0.75" header="0.3" footer="0.3"/>
  <pageSetup scale="79" orientation="landscape" r:id="rId1"/>
  <headerFooter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O78"/>
  <sheetViews>
    <sheetView zoomScale="80" zoomScaleNormal="80" workbookViewId="0">
      <selection activeCell="B4" sqref="B4"/>
    </sheetView>
  </sheetViews>
  <sheetFormatPr defaultColWidth="9.140625" defaultRowHeight="14.25" x14ac:dyDescent="0.25"/>
  <cols>
    <col min="1" max="1" width="9.140625" style="27" collapsed="1"/>
    <col min="2" max="2" width="40" style="26" bestFit="1" customWidth="1" collapsed="1"/>
    <col min="3" max="3" width="16.28515625" style="27" bestFit="1" customWidth="1" collapsed="1"/>
    <col min="4" max="4" width="16.28515625" style="27" customWidth="1" collapsed="1"/>
    <col min="5" max="10" width="16.28515625" style="27" bestFit="1" customWidth="1" collapsed="1"/>
    <col min="11" max="11" width="8.7109375" style="27" customWidth="1" collapsed="1"/>
    <col min="12" max="16384" width="9.140625" style="27" collapsed="1"/>
  </cols>
  <sheetData>
    <row r="1" spans="2:15" ht="69.75" customHeight="1" x14ac:dyDescent="0.25"/>
    <row r="2" spans="2:15" ht="42.6" customHeight="1" x14ac:dyDescent="0.25">
      <c r="B2" s="474" t="s">
        <v>1410</v>
      </c>
      <c r="C2" s="475"/>
      <c r="D2" s="475"/>
      <c r="E2" s="475"/>
      <c r="F2" s="475"/>
      <c r="G2" s="475"/>
      <c r="H2" s="475"/>
      <c r="I2" s="475"/>
      <c r="J2" s="475"/>
      <c r="K2" s="476"/>
      <c r="L2" s="28"/>
      <c r="M2" s="28"/>
      <c r="N2" s="28"/>
      <c r="O2" s="28"/>
    </row>
    <row r="3" spans="2:15" ht="30" customHeight="1" x14ac:dyDescent="0.25">
      <c r="B3" s="477" t="s">
        <v>2236</v>
      </c>
      <c r="C3" s="478"/>
      <c r="D3" s="478"/>
      <c r="E3" s="478"/>
      <c r="F3" s="478"/>
      <c r="G3" s="478"/>
      <c r="H3" s="478"/>
      <c r="I3" s="478"/>
      <c r="J3" s="478"/>
      <c r="K3" s="479"/>
      <c r="L3" s="29"/>
      <c r="M3" s="29"/>
      <c r="N3" s="29"/>
      <c r="O3" s="29"/>
    </row>
    <row r="4" spans="2:15" ht="30" customHeight="1" x14ac:dyDescent="0.25">
      <c r="B4" s="30"/>
      <c r="C4" s="31"/>
      <c r="D4" s="31"/>
      <c r="E4" s="31"/>
      <c r="F4" s="31"/>
      <c r="G4" s="31"/>
      <c r="H4" s="31"/>
      <c r="I4" s="31"/>
      <c r="J4" s="31"/>
      <c r="K4" s="32"/>
      <c r="L4" s="29"/>
      <c r="M4" s="29"/>
      <c r="N4" s="29"/>
      <c r="O4" s="29"/>
    </row>
    <row r="5" spans="2:15" ht="13.15" customHeight="1" x14ac:dyDescent="0.25">
      <c r="B5" s="14"/>
      <c r="C5" s="490" t="s">
        <v>620</v>
      </c>
      <c r="D5" s="485"/>
      <c r="E5" s="25" t="s">
        <v>621</v>
      </c>
      <c r="F5" s="485" t="s">
        <v>622</v>
      </c>
      <c r="G5" s="485"/>
      <c r="H5" s="485"/>
      <c r="I5" s="485"/>
      <c r="J5" s="486"/>
      <c r="K5" s="33"/>
      <c r="L5" s="34"/>
      <c r="M5" s="34"/>
      <c r="N5" s="34"/>
      <c r="O5" s="34"/>
    </row>
    <row r="6" spans="2:15" ht="12.75" customHeight="1" x14ac:dyDescent="0.25">
      <c r="B6" s="14"/>
      <c r="C6" s="35" t="str">
        <f>RIGHT(Admin2!N2,4)</f>
        <v>2016</v>
      </c>
      <c r="D6" s="37" t="str">
        <f>RIGHT(Admin2!O2,4)</f>
        <v>2017</v>
      </c>
      <c r="E6" s="36" t="str">
        <f>RIGHT(Admin2!P2,4)</f>
        <v>2018</v>
      </c>
      <c r="F6" s="37" t="str">
        <f>RIGHT(Admin2!Q2,4)</f>
        <v>2019</v>
      </c>
      <c r="G6" s="37" t="str">
        <f>RIGHT(Admin2!R2,4)</f>
        <v>2020</v>
      </c>
      <c r="H6" s="37" t="str">
        <f>RIGHT(Admin2!S2,4)</f>
        <v>2021</v>
      </c>
      <c r="I6" s="37" t="str">
        <f>RIGHT(Admin2!T2,4)</f>
        <v>2022</v>
      </c>
      <c r="J6" s="38" t="str">
        <f>RIGHT(Admin2!U2,4)</f>
        <v>2023</v>
      </c>
      <c r="K6" s="39"/>
    </row>
    <row r="7" spans="2:15" ht="18" customHeight="1" x14ac:dyDescent="0.25">
      <c r="B7" s="175" t="s">
        <v>623</v>
      </c>
      <c r="C7" s="212">
        <f t="shared" ref="C7:J7" si="0">SUMIFS(INDEX(RevIndex,0,MATCH(C$6,RevPeriod,0)),RevFundRollup,"10")</f>
        <v>6149425.1099999994</v>
      </c>
      <c r="D7" s="213">
        <f t="shared" si="0"/>
        <v>6182385.3800000018</v>
      </c>
      <c r="E7" s="213">
        <f t="shared" si="0"/>
        <v>6748793.580000001</v>
      </c>
      <c r="F7" s="213">
        <f t="shared" si="0"/>
        <v>6838666.9399999995</v>
      </c>
      <c r="G7" s="213">
        <f t="shared" si="0"/>
        <v>6843565.7500000009</v>
      </c>
      <c r="H7" s="213">
        <f t="shared" si="0"/>
        <v>6855832.9299999997</v>
      </c>
      <c r="I7" s="213">
        <f t="shared" si="0"/>
        <v>6885698.3399999989</v>
      </c>
      <c r="J7" s="214">
        <f t="shared" si="0"/>
        <v>6964208.8099999987</v>
      </c>
      <c r="K7" s="174"/>
    </row>
    <row r="8" spans="2:15" ht="18" customHeight="1" x14ac:dyDescent="0.25">
      <c r="B8" s="175" t="s">
        <v>624</v>
      </c>
      <c r="C8" s="215">
        <f>SUMIFS(INDEX(RevIndex,0,MATCH(C$6,RevPeriod,0)),RevFundRollup,"10",RevMiscRev,"1")+Admin2!AB46</f>
        <v>5464565.4100000001</v>
      </c>
      <c r="D8" s="216">
        <f>SUMIFS(INDEX(RevIndex,0,MATCH(D$6,RevPeriod,0)),RevFundRollup,"10",RevMiscRev,"1")+Admin2!AC46</f>
        <v>5402372.0399999991</v>
      </c>
      <c r="E8" s="216">
        <f>SUMIFS(INDEX(RevIndex,0,MATCH(E$6,RevPeriod,0)),RevFundRollup,"10",RevMiscRev,"1")+Admin2!AD46</f>
        <v>6137242</v>
      </c>
      <c r="F8" s="216">
        <f>SUMIFS(INDEX(RevIndex,0,MATCH(F$6,RevPeriod,0)),RevFundRollup,"10",RevMiscRev,"1")+Admin2!AE46</f>
        <v>6219282</v>
      </c>
      <c r="G8" s="216">
        <f>SUMIFS(INDEX(RevIndex,0,MATCH(G$6,RevPeriod,0)),RevFundRollup,"10",RevMiscRev,"1")+Admin2!AF46</f>
        <v>6216604.3499999996</v>
      </c>
      <c r="H8" s="216">
        <f>SUMIFS(INDEX(RevIndex,0,MATCH(H$6,RevPeriod,0)),RevFundRollup,"10",RevMiscRev,"1")+Admin2!AG46</f>
        <v>6221196.0700000003</v>
      </c>
      <c r="I8" s="216">
        <f>SUMIFS(INDEX(RevIndex,0,MATCH(I$6,RevPeriod,0)),RevFundRollup,"10",RevMiscRev,"1")+Admin2!AH46</f>
        <v>6243288.1799999997</v>
      </c>
      <c r="J8" s="217">
        <f>SUMIFS(INDEX(RevIndex,0,MATCH(J$6,RevPeriod,0)),RevFundRollup,"10",RevMiscRev,"1")+Admin2!AI46</f>
        <v>6313926.7000000002</v>
      </c>
      <c r="K8" s="174"/>
    </row>
    <row r="9" spans="2:15" ht="18" customHeight="1" x14ac:dyDescent="0.25">
      <c r="B9" s="175"/>
      <c r="C9" s="218"/>
      <c r="D9" s="219"/>
      <c r="E9" s="219"/>
      <c r="F9" s="219"/>
      <c r="G9" s="219"/>
      <c r="H9" s="219"/>
      <c r="I9" s="219"/>
      <c r="J9" s="220"/>
      <c r="K9" s="174"/>
    </row>
    <row r="10" spans="2:15" ht="21" customHeight="1" x14ac:dyDescent="0.25">
      <c r="B10" s="171"/>
      <c r="C10" s="487" t="s">
        <v>637</v>
      </c>
      <c r="D10" s="488"/>
      <c r="E10" s="488"/>
      <c r="F10" s="488"/>
      <c r="G10" s="488"/>
      <c r="H10" s="488"/>
      <c r="I10" s="488"/>
      <c r="J10" s="489"/>
      <c r="K10" s="174"/>
    </row>
    <row r="11" spans="2:15" ht="18" customHeight="1" x14ac:dyDescent="0.25">
      <c r="B11" s="171" t="s">
        <v>625</v>
      </c>
      <c r="C11" s="221"/>
      <c r="D11" s="222"/>
      <c r="E11" s="222"/>
      <c r="F11" s="222"/>
      <c r="G11" s="222"/>
      <c r="H11" s="222"/>
      <c r="I11" s="222"/>
      <c r="J11" s="223"/>
      <c r="K11" s="174"/>
    </row>
    <row r="12" spans="2:15" ht="18" customHeight="1" x14ac:dyDescent="0.25">
      <c r="B12" s="175" t="s">
        <v>626</v>
      </c>
      <c r="C12" s="221">
        <f t="shared" ref="C12:J12" si="1">SUMIFS(INDEX(RevIndex,0,MATCH(C$6,RevPeriod,0)),RevFundRollup,"10",RevMiscRev,"11")</f>
        <v>0</v>
      </c>
      <c r="D12" s="222">
        <f t="shared" si="1"/>
        <v>0</v>
      </c>
      <c r="E12" s="222">
        <f t="shared" si="1"/>
        <v>0</v>
      </c>
      <c r="F12" s="222">
        <f t="shared" si="1"/>
        <v>0</v>
      </c>
      <c r="G12" s="222">
        <f t="shared" si="1"/>
        <v>0</v>
      </c>
      <c r="H12" s="222">
        <f t="shared" si="1"/>
        <v>0</v>
      </c>
      <c r="I12" s="222">
        <f t="shared" si="1"/>
        <v>0</v>
      </c>
      <c r="J12" s="223">
        <f t="shared" si="1"/>
        <v>0</v>
      </c>
      <c r="K12" s="174"/>
    </row>
    <row r="13" spans="2:15" ht="18" customHeight="1" x14ac:dyDescent="0.25">
      <c r="B13" s="175" t="s">
        <v>627</v>
      </c>
      <c r="C13" s="221">
        <f t="shared" ref="C13:J13" si="2">SUMIFS(INDEX(RevIndex,0,MATCH(C$6,RevPeriod,0)),RevFundRollup,"10",RevMiscRev,"13")</f>
        <v>262168.98</v>
      </c>
      <c r="D13" s="222">
        <f t="shared" si="2"/>
        <v>333001.63</v>
      </c>
      <c r="E13" s="222">
        <f t="shared" si="2"/>
        <v>329139</v>
      </c>
      <c r="F13" s="222">
        <f t="shared" si="2"/>
        <v>332736.94</v>
      </c>
      <c r="G13" s="222">
        <f t="shared" si="2"/>
        <v>336014.32</v>
      </c>
      <c r="H13" s="222">
        <f t="shared" si="2"/>
        <v>339324.44999999995</v>
      </c>
      <c r="I13" s="222">
        <f t="shared" si="2"/>
        <v>342667.7</v>
      </c>
      <c r="J13" s="223">
        <f t="shared" si="2"/>
        <v>346044.38</v>
      </c>
      <c r="K13" s="174"/>
    </row>
    <row r="14" spans="2:15" ht="18" customHeight="1" x14ac:dyDescent="0.25">
      <c r="B14" s="175" t="s">
        <v>628</v>
      </c>
      <c r="C14" s="221">
        <f t="shared" ref="C14:J14" si="3">SUMIFS(INDEX(RevIndex,0,MATCH(C$6,RevPeriod,0)),RevFundRollup,"10",RevMiscRev,"14")</f>
        <v>0</v>
      </c>
      <c r="D14" s="222">
        <f t="shared" si="3"/>
        <v>0</v>
      </c>
      <c r="E14" s="222">
        <f t="shared" si="3"/>
        <v>0</v>
      </c>
      <c r="F14" s="222">
        <f t="shared" si="3"/>
        <v>0</v>
      </c>
      <c r="G14" s="222">
        <f t="shared" si="3"/>
        <v>0</v>
      </c>
      <c r="H14" s="222">
        <f t="shared" si="3"/>
        <v>0</v>
      </c>
      <c r="I14" s="222">
        <f t="shared" si="3"/>
        <v>0</v>
      </c>
      <c r="J14" s="223">
        <f t="shared" si="3"/>
        <v>0</v>
      </c>
      <c r="K14" s="174"/>
    </row>
    <row r="15" spans="2:15" ht="18" customHeight="1" x14ac:dyDescent="0.25">
      <c r="B15" s="175" t="s">
        <v>629</v>
      </c>
      <c r="C15" s="221">
        <f t="shared" ref="C15:J15" si="4">SUMIFS(INDEX(RevIndex,0,MATCH(C$6,RevPeriod,0)),RevFundRollup,"10",RevMiscRev,"15")</f>
        <v>1654.09</v>
      </c>
      <c r="D15" s="222">
        <f t="shared" si="4"/>
        <v>1592.55</v>
      </c>
      <c r="E15" s="222">
        <f t="shared" si="4"/>
        <v>1400</v>
      </c>
      <c r="F15" s="222">
        <f t="shared" si="4"/>
        <v>1421</v>
      </c>
      <c r="G15" s="222">
        <f t="shared" si="4"/>
        <v>1442.31</v>
      </c>
      <c r="H15" s="222">
        <f t="shared" si="4"/>
        <v>1463.95</v>
      </c>
      <c r="I15" s="222">
        <f t="shared" si="4"/>
        <v>1485.91</v>
      </c>
      <c r="J15" s="223">
        <f t="shared" si="4"/>
        <v>1508.2</v>
      </c>
      <c r="K15" s="174"/>
    </row>
    <row r="16" spans="2:15" ht="18" customHeight="1" x14ac:dyDescent="0.25">
      <c r="B16" s="175" t="s">
        <v>630</v>
      </c>
      <c r="C16" s="221">
        <f t="shared" ref="C16:J16" si="5">SUMIFS(INDEX(RevIndex,0,MATCH(C$6,RevPeriod,0)),RevFundRollup,"10",RevMiscRev,"17")</f>
        <v>0</v>
      </c>
      <c r="D16" s="222">
        <f t="shared" si="5"/>
        <v>0</v>
      </c>
      <c r="E16" s="222">
        <f t="shared" si="5"/>
        <v>0</v>
      </c>
      <c r="F16" s="222">
        <f t="shared" si="5"/>
        <v>0</v>
      </c>
      <c r="G16" s="222">
        <f t="shared" si="5"/>
        <v>0</v>
      </c>
      <c r="H16" s="222">
        <f t="shared" si="5"/>
        <v>0</v>
      </c>
      <c r="I16" s="222">
        <f t="shared" si="5"/>
        <v>0</v>
      </c>
      <c r="J16" s="223">
        <f t="shared" si="5"/>
        <v>0</v>
      </c>
      <c r="K16" s="174"/>
    </row>
    <row r="17" spans="2:11" ht="18" customHeight="1" x14ac:dyDescent="0.25">
      <c r="B17" s="175" t="s">
        <v>631</v>
      </c>
      <c r="C17" s="218">
        <f t="shared" ref="C17:J17" si="6">SUMIFS(INDEX(RevIndex,0,MATCH(C$6,RevPeriod,0)),RevFundRollup,"10",RevMiscRev,"19")</f>
        <v>96795.35</v>
      </c>
      <c r="D17" s="219">
        <f t="shared" si="6"/>
        <v>85435.12</v>
      </c>
      <c r="E17" s="219">
        <f t="shared" si="6"/>
        <v>59951.95</v>
      </c>
      <c r="F17" s="219">
        <f t="shared" si="6"/>
        <v>60851.229999999996</v>
      </c>
      <c r="G17" s="219">
        <f t="shared" si="6"/>
        <v>61763.990000000005</v>
      </c>
      <c r="H17" s="219">
        <f t="shared" si="6"/>
        <v>62690.460000000006</v>
      </c>
      <c r="I17" s="219">
        <f t="shared" si="6"/>
        <v>63630.81</v>
      </c>
      <c r="J17" s="220">
        <f t="shared" si="6"/>
        <v>64585.270000000004</v>
      </c>
      <c r="K17" s="174"/>
    </row>
    <row r="18" spans="2:11" ht="18" customHeight="1" x14ac:dyDescent="0.25">
      <c r="B18" s="171" t="s">
        <v>632</v>
      </c>
      <c r="C18" s="224">
        <f>SUM(C12:C17)</f>
        <v>360618.42000000004</v>
      </c>
      <c r="D18" s="225">
        <f t="shared" ref="D18:J18" si="7">SUM(D12:D17)</f>
        <v>420029.3</v>
      </c>
      <c r="E18" s="225">
        <f t="shared" si="7"/>
        <v>390490.95</v>
      </c>
      <c r="F18" s="225">
        <f t="shared" si="7"/>
        <v>395009.17</v>
      </c>
      <c r="G18" s="225">
        <f t="shared" si="7"/>
        <v>399220.62</v>
      </c>
      <c r="H18" s="225">
        <f t="shared" si="7"/>
        <v>403478.86</v>
      </c>
      <c r="I18" s="225">
        <f t="shared" si="7"/>
        <v>407784.42</v>
      </c>
      <c r="J18" s="226">
        <f t="shared" si="7"/>
        <v>412137.85000000003</v>
      </c>
      <c r="K18" s="174"/>
    </row>
    <row r="19" spans="2:11" ht="18" customHeight="1" x14ac:dyDescent="0.25">
      <c r="B19" s="175"/>
      <c r="C19" s="221"/>
      <c r="D19" s="222"/>
      <c r="E19" s="222"/>
      <c r="F19" s="222"/>
      <c r="G19" s="222"/>
      <c r="H19" s="222"/>
      <c r="I19" s="222"/>
      <c r="J19" s="223"/>
      <c r="K19" s="174"/>
    </row>
    <row r="20" spans="2:11" ht="18" customHeight="1" x14ac:dyDescent="0.25">
      <c r="B20" s="171" t="s">
        <v>633</v>
      </c>
      <c r="C20" s="227">
        <f t="shared" ref="C20:J20" si="8">SUMIFS(INDEX(RevIndex,0,MATCH(C$6,RevPeriod,0)),RevFundRollup,"10",RevMiscRev,"2000")</f>
        <v>0</v>
      </c>
      <c r="D20" s="228">
        <f t="shared" si="8"/>
        <v>0</v>
      </c>
      <c r="E20" s="228">
        <f t="shared" si="8"/>
        <v>0</v>
      </c>
      <c r="F20" s="228">
        <f t="shared" si="8"/>
        <v>0</v>
      </c>
      <c r="G20" s="228">
        <f t="shared" si="8"/>
        <v>0</v>
      </c>
      <c r="H20" s="228">
        <f t="shared" si="8"/>
        <v>0</v>
      </c>
      <c r="I20" s="228">
        <f t="shared" si="8"/>
        <v>0</v>
      </c>
      <c r="J20" s="229">
        <f t="shared" si="8"/>
        <v>0</v>
      </c>
      <c r="K20" s="174"/>
    </row>
    <row r="21" spans="2:11" ht="18" customHeight="1" x14ac:dyDescent="0.25">
      <c r="B21" s="175"/>
      <c r="C21" s="221"/>
      <c r="D21" s="222"/>
      <c r="E21" s="222"/>
      <c r="F21" s="222"/>
      <c r="G21" s="222"/>
      <c r="H21" s="222"/>
      <c r="I21" s="222"/>
      <c r="J21" s="223"/>
      <c r="K21" s="174"/>
    </row>
    <row r="22" spans="2:11" ht="18" customHeight="1" x14ac:dyDescent="0.25">
      <c r="B22" s="171" t="s">
        <v>634</v>
      </c>
      <c r="C22" s="227">
        <f>IF(Admin2!AB47=1,SUMIFS(INDEX(RevIndex,0,MATCH(C$6,RevPeriod,0)),RevFundRollup,"10",RevMiscRev,"3000"),SUMIFS(INDEX(RevIndex,0,MATCH(C$6,RevPeriod,0)),RevFundRollup,"10",RevMiscRev,"3000")-Admin2!AB46)</f>
        <v>64815.21</v>
      </c>
      <c r="D22" s="228">
        <f>IF(Admin2!AC47=1,SUMIFS(INDEX(RevIndex,0,MATCH(D$6,RevPeriod,0)),RevFundRollup,"10",RevMiscRev,"3000"),SUMIFS(INDEX(RevIndex,0,MATCH(D$6,RevPeriod,0)),RevFundRollup,"10",RevMiscRev,"3000")-Admin2!AC46)</f>
        <v>189246.04</v>
      </c>
      <c r="E22" s="228">
        <f>IF(Admin2!AD47=1,SUMIFS(INDEX(RevIndex,0,MATCH(E$6,RevPeriod,0)),RevFundRollup,"10",RevMiscRev,"3000"),SUMIFS(INDEX(RevIndex,0,MATCH(E$6,RevPeriod,0)),RevFundRollup,"10",RevMiscRev,"3000")-Admin2!AD46)</f>
        <v>17971.690000000002</v>
      </c>
      <c r="F22" s="228">
        <f>IF(Admin2!AE47=1,SUMIFS(INDEX(RevIndex,0,MATCH(F$6,RevPeriod,0)),RevFundRollup,"10",RevMiscRev,"3000"),SUMIFS(INDEX(RevIndex,0,MATCH(F$6,RevPeriod,0)),RevFundRollup,"10",RevMiscRev,"3000")-Admin2!AE46)</f>
        <v>18240.790000000008</v>
      </c>
      <c r="G22" s="228">
        <f>IF(Admin2!AF47=1,SUMIFS(INDEX(RevIndex,0,MATCH(G$6,RevPeriod,0)),RevFundRollup,"10",RevMiscRev,"3000"),SUMIFS(INDEX(RevIndex,0,MATCH(G$6,RevPeriod,0)),RevFundRollup,"10",RevMiscRev,"3000")-Admin2!AF46)</f>
        <v>18514.410000000003</v>
      </c>
      <c r="H22" s="228">
        <f>IF(Admin2!AG47=1,SUMIFS(INDEX(RevIndex,0,MATCH(H$6,RevPeriod,0)),RevFundRollup,"10",RevMiscRev,"3000"),SUMIFS(INDEX(RevIndex,0,MATCH(H$6,RevPeriod,0)),RevFundRollup,"10",RevMiscRev,"3000")-Admin2!AG46)</f>
        <v>18792.559999999998</v>
      </c>
      <c r="I22" s="228">
        <f>IF(Admin2!AH47=1,SUMIFS(INDEX(RevIndex,0,MATCH(I$6,RevPeriod,0)),RevFundRollup,"10",RevMiscRev,"3000"),SUMIFS(INDEX(RevIndex,0,MATCH(I$6,RevPeriod,0)),RevFundRollup,"10",RevMiscRev,"3000")-Admin2!AH46)</f>
        <v>19074.260000000009</v>
      </c>
      <c r="J22" s="229">
        <f>IF(Admin2!AI47=1,SUMIFS(INDEX(RevIndex,0,MATCH(J$6,RevPeriod,0)),RevFundRollup,"10",RevMiscRev,"3000"),SUMIFS(INDEX(RevIndex,0,MATCH(J$6,RevPeriod,0)),RevFundRollup,"10",RevMiscRev,"3000")-Admin2!AI46)</f>
        <v>19360.510000000009</v>
      </c>
      <c r="K22" s="174"/>
    </row>
    <row r="23" spans="2:11" ht="18" customHeight="1" x14ac:dyDescent="0.25">
      <c r="B23" s="175"/>
      <c r="C23" s="221"/>
      <c r="D23" s="222"/>
      <c r="E23" s="222"/>
      <c r="F23" s="222"/>
      <c r="G23" s="222"/>
      <c r="H23" s="222"/>
      <c r="I23" s="222"/>
      <c r="J23" s="223"/>
      <c r="K23" s="174"/>
    </row>
    <row r="24" spans="2:11" ht="18" customHeight="1" x14ac:dyDescent="0.25">
      <c r="B24" s="171" t="s">
        <v>635</v>
      </c>
      <c r="C24" s="230">
        <f t="shared" ref="C24:J24" si="9">SUMIFS(INDEX(RevIndex,0,MATCH(C$6,RevPeriod,0)),RevFundRollup,"10",RevMiscRev,"4000")</f>
        <v>259426.06999999998</v>
      </c>
      <c r="D24" s="231">
        <f t="shared" si="9"/>
        <v>170738</v>
      </c>
      <c r="E24" s="231">
        <f t="shared" si="9"/>
        <v>203088.94</v>
      </c>
      <c r="F24" s="231">
        <f t="shared" si="9"/>
        <v>206134.98</v>
      </c>
      <c r="G24" s="231">
        <f t="shared" si="9"/>
        <v>209226.37</v>
      </c>
      <c r="H24" s="231">
        <f t="shared" si="9"/>
        <v>212365.44</v>
      </c>
      <c r="I24" s="231">
        <f t="shared" si="9"/>
        <v>215551.48</v>
      </c>
      <c r="J24" s="232">
        <f t="shared" si="9"/>
        <v>218783.75</v>
      </c>
      <c r="K24" s="174"/>
    </row>
    <row r="25" spans="2:11" ht="18" customHeight="1" x14ac:dyDescent="0.25">
      <c r="B25" s="175"/>
      <c r="C25" s="221"/>
      <c r="D25" s="222"/>
      <c r="E25" s="222"/>
      <c r="F25" s="222"/>
      <c r="G25" s="222"/>
      <c r="H25" s="222"/>
      <c r="I25" s="222"/>
      <c r="J25" s="223"/>
      <c r="K25" s="174"/>
    </row>
    <row r="26" spans="2:11" ht="18" customHeight="1" x14ac:dyDescent="0.25">
      <c r="B26" s="171" t="s">
        <v>636</v>
      </c>
      <c r="C26" s="227">
        <f t="shared" ref="C26:J26" si="10">SUMIFS(INDEX(RevIndex,0,MATCH(C$6,RevPeriod,0)),RevFundRollup,"10",RevMiscRev,"5000")</f>
        <v>0</v>
      </c>
      <c r="D26" s="228">
        <f t="shared" si="10"/>
        <v>0</v>
      </c>
      <c r="E26" s="228">
        <f t="shared" si="10"/>
        <v>0</v>
      </c>
      <c r="F26" s="228">
        <f t="shared" si="10"/>
        <v>0</v>
      </c>
      <c r="G26" s="228">
        <f t="shared" si="10"/>
        <v>0</v>
      </c>
      <c r="H26" s="228">
        <f t="shared" si="10"/>
        <v>0</v>
      </c>
      <c r="I26" s="228">
        <f t="shared" si="10"/>
        <v>0</v>
      </c>
      <c r="J26" s="229">
        <f t="shared" si="10"/>
        <v>0</v>
      </c>
      <c r="K26" s="233"/>
    </row>
    <row r="27" spans="2:11" ht="18" customHeight="1" x14ac:dyDescent="0.25">
      <c r="B27" s="175"/>
      <c r="C27" s="221"/>
      <c r="D27" s="222"/>
      <c r="E27" s="222"/>
      <c r="F27" s="222"/>
      <c r="G27" s="222"/>
      <c r="H27" s="222"/>
      <c r="I27" s="222"/>
      <c r="J27" s="223"/>
      <c r="K27" s="174"/>
    </row>
    <row r="28" spans="2:11" ht="18" customHeight="1" x14ac:dyDescent="0.25">
      <c r="B28" s="171" t="s">
        <v>637</v>
      </c>
      <c r="C28" s="234">
        <f>C7-C8</f>
        <v>684859.69999999925</v>
      </c>
      <c r="D28" s="235">
        <f t="shared" ref="D28:J28" si="11">D7-D8</f>
        <v>780013.34000000264</v>
      </c>
      <c r="E28" s="235">
        <f t="shared" si="11"/>
        <v>611551.58000000101</v>
      </c>
      <c r="F28" s="235">
        <f t="shared" si="11"/>
        <v>619384.93999999948</v>
      </c>
      <c r="G28" s="235">
        <f t="shared" si="11"/>
        <v>626961.4000000013</v>
      </c>
      <c r="H28" s="235">
        <f t="shared" si="11"/>
        <v>634636.8599999994</v>
      </c>
      <c r="I28" s="235">
        <f t="shared" si="11"/>
        <v>642410.15999999922</v>
      </c>
      <c r="J28" s="236">
        <f t="shared" si="11"/>
        <v>650282.10999999847</v>
      </c>
      <c r="K28" s="237"/>
    </row>
    <row r="29" spans="2:11" ht="18" customHeight="1" x14ac:dyDescent="0.25">
      <c r="B29" s="171"/>
      <c r="C29" s="238"/>
      <c r="D29" s="239"/>
      <c r="E29" s="239"/>
      <c r="F29" s="239"/>
      <c r="G29" s="239"/>
      <c r="H29" s="239"/>
      <c r="I29" s="239"/>
      <c r="J29" s="237"/>
      <c r="K29" s="174"/>
    </row>
    <row r="30" spans="2:11" ht="18" customHeight="1" x14ac:dyDescent="0.25">
      <c r="B30" s="175" t="s">
        <v>638</v>
      </c>
      <c r="C30" s="221">
        <f>Admin2!AB48</f>
        <v>0</v>
      </c>
      <c r="D30" s="222">
        <f>Admin2!AC48</f>
        <v>169100</v>
      </c>
      <c r="E30" s="222">
        <f>Admin2!AD48</f>
        <v>0</v>
      </c>
      <c r="F30" s="222">
        <f>Admin2!AE48</f>
        <v>0</v>
      </c>
      <c r="G30" s="222">
        <f>Admin2!AF48</f>
        <v>0</v>
      </c>
      <c r="H30" s="222">
        <f>Admin2!AG48</f>
        <v>0</v>
      </c>
      <c r="I30" s="222">
        <f>Admin2!AH48</f>
        <v>0</v>
      </c>
      <c r="J30" s="223">
        <f>Admin2!AI48</f>
        <v>0</v>
      </c>
      <c r="K30" s="174"/>
    </row>
    <row r="31" spans="2:11" ht="18" customHeight="1" x14ac:dyDescent="0.25">
      <c r="B31" s="175"/>
      <c r="C31" s="221"/>
      <c r="D31" s="222"/>
      <c r="E31" s="222"/>
      <c r="F31" s="222"/>
      <c r="G31" s="222"/>
      <c r="H31" s="222"/>
      <c r="I31" s="222"/>
      <c r="J31" s="223"/>
      <c r="K31" s="174"/>
    </row>
    <row r="32" spans="2:11" ht="18" customHeight="1" x14ac:dyDescent="0.25">
      <c r="B32" s="171" t="s">
        <v>639</v>
      </c>
      <c r="C32" s="240">
        <f>C28/C7</f>
        <v>0.11136971143632633</v>
      </c>
      <c r="D32" s="241">
        <f t="shared" ref="D32:J32" si="12">D28/D7</f>
        <v>0.12616705236838574</v>
      </c>
      <c r="E32" s="241">
        <f t="shared" si="12"/>
        <v>9.0616429847896002E-2</v>
      </c>
      <c r="F32" s="241">
        <f t="shared" si="12"/>
        <v>9.0571005348594955E-2</v>
      </c>
      <c r="G32" s="241">
        <f t="shared" si="12"/>
        <v>9.1613264620128948E-2</v>
      </c>
      <c r="H32" s="241">
        <f t="shared" si="12"/>
        <v>9.2568892281918461E-2</v>
      </c>
      <c r="I32" s="241">
        <f t="shared" si="12"/>
        <v>9.3296297380346657E-2</v>
      </c>
      <c r="J32" s="242">
        <f t="shared" si="12"/>
        <v>9.3374872543489779E-2</v>
      </c>
      <c r="K32" s="174"/>
    </row>
    <row r="33" spans="2:11" ht="15" x14ac:dyDescent="0.25">
      <c r="B33" s="243"/>
      <c r="C33" s="244"/>
      <c r="D33" s="244"/>
      <c r="E33" s="244"/>
      <c r="F33" s="244"/>
      <c r="G33" s="244"/>
      <c r="H33" s="244"/>
      <c r="I33" s="244"/>
      <c r="J33" s="244"/>
      <c r="K33" s="245"/>
    </row>
    <row r="34" spans="2:11" x14ac:dyDescent="0.25">
      <c r="B34" s="44"/>
      <c r="C34" s="45"/>
      <c r="D34" s="45"/>
      <c r="E34" s="45"/>
      <c r="F34" s="45"/>
      <c r="G34" s="45"/>
      <c r="H34" s="45"/>
      <c r="I34" s="45"/>
      <c r="J34" s="45"/>
    </row>
    <row r="35" spans="2:11" x14ac:dyDescent="0.25">
      <c r="B35" s="46"/>
      <c r="C35" s="47"/>
      <c r="D35" s="47"/>
      <c r="E35" s="47"/>
      <c r="F35" s="47"/>
      <c r="G35" s="47"/>
      <c r="H35" s="47"/>
      <c r="I35" s="47"/>
      <c r="J35" s="47"/>
      <c r="K35" s="48"/>
    </row>
    <row r="36" spans="2:11" x14ac:dyDescent="0.25">
      <c r="B36" s="49"/>
      <c r="C36" s="50"/>
      <c r="D36" s="50"/>
      <c r="E36" s="50"/>
      <c r="F36" s="50"/>
      <c r="G36" s="50"/>
      <c r="H36" s="50"/>
      <c r="I36" s="50"/>
      <c r="J36" s="50"/>
      <c r="K36" s="39"/>
    </row>
    <row r="37" spans="2:11" x14ac:dyDescent="0.25">
      <c r="B37" s="49"/>
      <c r="C37" s="50"/>
      <c r="D37" s="50"/>
      <c r="E37" s="50"/>
      <c r="F37" s="50"/>
      <c r="G37" s="50"/>
      <c r="H37" s="50"/>
      <c r="I37" s="50"/>
      <c r="J37" s="50"/>
      <c r="K37" s="39"/>
    </row>
    <row r="38" spans="2:11" x14ac:dyDescent="0.25">
      <c r="B38" s="49"/>
      <c r="C38" s="50"/>
      <c r="D38" s="50"/>
      <c r="E38" s="50"/>
      <c r="F38" s="50"/>
      <c r="G38" s="50"/>
      <c r="H38" s="50"/>
      <c r="I38" s="50"/>
      <c r="J38" s="50"/>
      <c r="K38" s="39"/>
    </row>
    <row r="39" spans="2:11" x14ac:dyDescent="0.25">
      <c r="B39" s="49"/>
      <c r="C39" s="50"/>
      <c r="D39" s="50"/>
      <c r="E39" s="50"/>
      <c r="F39" s="50"/>
      <c r="G39" s="50"/>
      <c r="H39" s="50"/>
      <c r="I39" s="50"/>
      <c r="J39" s="50"/>
      <c r="K39" s="39"/>
    </row>
    <row r="40" spans="2:11" x14ac:dyDescent="0.25">
      <c r="B40" s="49"/>
      <c r="C40" s="50"/>
      <c r="D40" s="50"/>
      <c r="E40" s="50"/>
      <c r="F40" s="50"/>
      <c r="G40" s="50"/>
      <c r="H40" s="50"/>
      <c r="I40" s="50"/>
      <c r="J40" s="50"/>
      <c r="K40" s="39"/>
    </row>
    <row r="41" spans="2:11" x14ac:dyDescent="0.25">
      <c r="B41" s="49"/>
      <c r="C41" s="50"/>
      <c r="D41" s="50"/>
      <c r="E41" s="50"/>
      <c r="F41" s="50"/>
      <c r="G41" s="50"/>
      <c r="H41" s="50"/>
      <c r="I41" s="50"/>
      <c r="J41" s="50"/>
      <c r="K41" s="39"/>
    </row>
    <row r="42" spans="2:11" x14ac:dyDescent="0.25">
      <c r="B42" s="49"/>
      <c r="C42" s="50"/>
      <c r="D42" s="50"/>
      <c r="E42" s="50"/>
      <c r="F42" s="50"/>
      <c r="G42" s="50"/>
      <c r="H42" s="50"/>
      <c r="I42" s="50"/>
      <c r="J42" s="50"/>
      <c r="K42" s="39"/>
    </row>
    <row r="43" spans="2:11" x14ac:dyDescent="0.25">
      <c r="B43" s="49"/>
      <c r="C43" s="50"/>
      <c r="D43" s="50"/>
      <c r="E43" s="50"/>
      <c r="F43" s="50"/>
      <c r="G43" s="50"/>
      <c r="H43" s="50"/>
      <c r="I43" s="50"/>
      <c r="J43" s="50"/>
      <c r="K43" s="39"/>
    </row>
    <row r="44" spans="2:11" x14ac:dyDescent="0.25">
      <c r="B44" s="49"/>
      <c r="C44" s="50"/>
      <c r="D44" s="50"/>
      <c r="E44" s="50"/>
      <c r="F44" s="50"/>
      <c r="G44" s="50"/>
      <c r="H44" s="50"/>
      <c r="I44" s="50"/>
      <c r="J44" s="50"/>
      <c r="K44" s="39"/>
    </row>
    <row r="45" spans="2:11" x14ac:dyDescent="0.25">
      <c r="B45" s="49"/>
      <c r="C45" s="50"/>
      <c r="D45" s="50"/>
      <c r="E45" s="50"/>
      <c r="F45" s="50"/>
      <c r="G45" s="50"/>
      <c r="H45" s="50"/>
      <c r="I45" s="50"/>
      <c r="J45" s="50"/>
      <c r="K45" s="39"/>
    </row>
    <row r="46" spans="2:11" x14ac:dyDescent="0.25">
      <c r="B46" s="49"/>
      <c r="C46" s="50"/>
      <c r="D46" s="50"/>
      <c r="E46" s="50"/>
      <c r="F46" s="50"/>
      <c r="G46" s="50"/>
      <c r="H46" s="50"/>
      <c r="I46" s="50"/>
      <c r="J46" s="50"/>
      <c r="K46" s="39"/>
    </row>
    <row r="47" spans="2:11" x14ac:dyDescent="0.25">
      <c r="B47" s="49"/>
      <c r="C47" s="50"/>
      <c r="D47" s="50"/>
      <c r="E47" s="50"/>
      <c r="F47" s="50"/>
      <c r="G47" s="50"/>
      <c r="H47" s="50"/>
      <c r="I47" s="50"/>
      <c r="J47" s="50"/>
      <c r="K47" s="39"/>
    </row>
    <row r="48" spans="2:11" x14ac:dyDescent="0.25">
      <c r="B48" s="49"/>
      <c r="C48" s="50"/>
      <c r="D48" s="50"/>
      <c r="E48" s="50"/>
      <c r="F48" s="50"/>
      <c r="G48" s="50"/>
      <c r="H48" s="50"/>
      <c r="I48" s="50"/>
      <c r="J48" s="50"/>
      <c r="K48" s="39"/>
    </row>
    <row r="49" spans="2:11" x14ac:dyDescent="0.25">
      <c r="B49" s="49"/>
      <c r="C49" s="50"/>
      <c r="D49" s="50"/>
      <c r="E49" s="50"/>
      <c r="F49" s="50"/>
      <c r="G49" s="50"/>
      <c r="H49" s="50"/>
      <c r="I49" s="50"/>
      <c r="J49" s="50"/>
      <c r="K49" s="39"/>
    </row>
    <row r="50" spans="2:11" x14ac:dyDescent="0.25">
      <c r="B50" s="49"/>
      <c r="C50" s="50"/>
      <c r="D50" s="50"/>
      <c r="E50" s="50"/>
      <c r="F50" s="50"/>
      <c r="G50" s="50"/>
      <c r="H50" s="50"/>
      <c r="I50" s="50"/>
      <c r="J50" s="50"/>
      <c r="K50" s="39"/>
    </row>
    <row r="51" spans="2:11" x14ac:dyDescent="0.25">
      <c r="B51" s="49"/>
      <c r="C51" s="50"/>
      <c r="D51" s="50"/>
      <c r="E51" s="50"/>
      <c r="F51" s="50"/>
      <c r="G51" s="50"/>
      <c r="H51" s="50"/>
      <c r="I51" s="50"/>
      <c r="J51" s="50"/>
      <c r="K51" s="39"/>
    </row>
    <row r="52" spans="2:11" x14ac:dyDescent="0.25">
      <c r="B52" s="49"/>
      <c r="C52" s="50"/>
      <c r="D52" s="50"/>
      <c r="E52" s="50"/>
      <c r="F52" s="50"/>
      <c r="G52" s="50"/>
      <c r="H52" s="50"/>
      <c r="I52" s="50"/>
      <c r="J52" s="50"/>
      <c r="K52" s="39"/>
    </row>
    <row r="53" spans="2:11" x14ac:dyDescent="0.25">
      <c r="B53" s="49"/>
      <c r="C53" s="50"/>
      <c r="D53" s="50"/>
      <c r="E53" s="50"/>
      <c r="F53" s="50"/>
      <c r="G53" s="50"/>
      <c r="H53" s="50"/>
      <c r="I53" s="50"/>
      <c r="J53" s="50"/>
      <c r="K53" s="39"/>
    </row>
    <row r="54" spans="2:11" x14ac:dyDescent="0.25">
      <c r="B54" s="49"/>
      <c r="C54" s="50"/>
      <c r="D54" s="50"/>
      <c r="E54" s="50"/>
      <c r="F54" s="50"/>
      <c r="G54" s="50"/>
      <c r="H54" s="50"/>
      <c r="I54" s="50"/>
      <c r="J54" s="50"/>
      <c r="K54" s="39"/>
    </row>
    <row r="55" spans="2:11" x14ac:dyDescent="0.25">
      <c r="B55" s="49"/>
      <c r="C55" s="50"/>
      <c r="D55" s="50"/>
      <c r="E55" s="50"/>
      <c r="F55" s="50"/>
      <c r="G55" s="50"/>
      <c r="H55" s="50"/>
      <c r="I55" s="50"/>
      <c r="J55" s="50"/>
      <c r="K55" s="39"/>
    </row>
    <row r="56" spans="2:11" x14ac:dyDescent="0.25">
      <c r="B56" s="49"/>
      <c r="C56" s="50"/>
      <c r="D56" s="50"/>
      <c r="E56" s="50"/>
      <c r="F56" s="50"/>
      <c r="G56" s="50"/>
      <c r="H56" s="50"/>
      <c r="I56" s="50"/>
      <c r="J56" s="50"/>
      <c r="K56" s="39"/>
    </row>
    <row r="57" spans="2:11" x14ac:dyDescent="0.25">
      <c r="B57" s="49"/>
      <c r="C57" s="50"/>
      <c r="D57" s="50"/>
      <c r="E57" s="50"/>
      <c r="F57" s="50"/>
      <c r="G57" s="50"/>
      <c r="H57" s="50"/>
      <c r="I57" s="50"/>
      <c r="J57" s="50"/>
      <c r="K57" s="39"/>
    </row>
    <row r="58" spans="2:11" x14ac:dyDescent="0.25">
      <c r="B58" s="49"/>
      <c r="C58" s="50"/>
      <c r="D58" s="50"/>
      <c r="E58" s="50"/>
      <c r="F58" s="50"/>
      <c r="G58" s="50"/>
      <c r="H58" s="50"/>
      <c r="I58" s="50"/>
      <c r="J58" s="50"/>
      <c r="K58" s="39"/>
    </row>
    <row r="59" spans="2:11" x14ac:dyDescent="0.25">
      <c r="B59" s="49"/>
      <c r="C59" s="50"/>
      <c r="D59" s="50"/>
      <c r="E59" s="50"/>
      <c r="F59" s="50"/>
      <c r="G59" s="50"/>
      <c r="H59" s="50"/>
      <c r="I59" s="50"/>
      <c r="J59" s="50"/>
      <c r="K59" s="39"/>
    </row>
    <row r="60" spans="2:11" x14ac:dyDescent="0.25">
      <c r="B60" s="49"/>
      <c r="C60" s="50"/>
      <c r="D60" s="50"/>
      <c r="E60" s="50"/>
      <c r="F60" s="50"/>
      <c r="G60" s="50"/>
      <c r="H60" s="50"/>
      <c r="I60" s="50"/>
      <c r="J60" s="50"/>
      <c r="K60" s="39"/>
    </row>
    <row r="61" spans="2:11" x14ac:dyDescent="0.25">
      <c r="B61" s="49"/>
      <c r="C61" s="50"/>
      <c r="D61" s="50"/>
      <c r="E61" s="50"/>
      <c r="F61" s="50"/>
      <c r="G61" s="50"/>
      <c r="H61" s="50"/>
      <c r="I61" s="50"/>
      <c r="J61" s="50"/>
      <c r="K61" s="39"/>
    </row>
    <row r="62" spans="2:11" x14ac:dyDescent="0.25">
      <c r="B62" s="49"/>
      <c r="C62" s="50"/>
      <c r="D62" s="50"/>
      <c r="E62" s="50"/>
      <c r="F62" s="50"/>
      <c r="G62" s="50"/>
      <c r="H62" s="50"/>
      <c r="I62" s="50"/>
      <c r="J62" s="50"/>
      <c r="K62" s="39"/>
    </row>
    <row r="63" spans="2:11" x14ac:dyDescent="0.25">
      <c r="B63" s="49"/>
      <c r="C63" s="50"/>
      <c r="D63" s="50"/>
      <c r="E63" s="50"/>
      <c r="F63" s="50"/>
      <c r="G63" s="50"/>
      <c r="H63" s="50"/>
      <c r="I63" s="50"/>
      <c r="J63" s="50"/>
      <c r="K63" s="39"/>
    </row>
    <row r="64" spans="2:11" x14ac:dyDescent="0.25">
      <c r="B64" s="49"/>
      <c r="C64" s="50"/>
      <c r="D64" s="50"/>
      <c r="E64" s="50"/>
      <c r="F64" s="50"/>
      <c r="G64" s="50"/>
      <c r="H64" s="50"/>
      <c r="I64" s="50"/>
      <c r="J64" s="50"/>
      <c r="K64" s="39"/>
    </row>
    <row r="65" spans="2:11" x14ac:dyDescent="0.25">
      <c r="B65" s="49"/>
      <c r="C65" s="50"/>
      <c r="D65" s="50"/>
      <c r="E65" s="50"/>
      <c r="F65" s="50"/>
      <c r="G65" s="50"/>
      <c r="H65" s="50"/>
      <c r="I65" s="50"/>
      <c r="J65" s="50"/>
      <c r="K65" s="39"/>
    </row>
    <row r="66" spans="2:11" x14ac:dyDescent="0.25">
      <c r="B66" s="49"/>
      <c r="C66" s="50"/>
      <c r="D66" s="50"/>
      <c r="E66" s="50"/>
      <c r="F66" s="50"/>
      <c r="G66" s="50"/>
      <c r="H66" s="50"/>
      <c r="I66" s="50"/>
      <c r="J66" s="50"/>
      <c r="K66" s="39"/>
    </row>
    <row r="67" spans="2:11" x14ac:dyDescent="0.25">
      <c r="B67" s="49"/>
      <c r="C67" s="50"/>
      <c r="D67" s="50"/>
      <c r="E67" s="50"/>
      <c r="F67" s="50"/>
      <c r="G67" s="50"/>
      <c r="H67" s="50"/>
      <c r="I67" s="50"/>
      <c r="J67" s="50"/>
      <c r="K67" s="39"/>
    </row>
    <row r="68" spans="2:11" x14ac:dyDescent="0.25">
      <c r="B68" s="49"/>
      <c r="C68" s="50"/>
      <c r="D68" s="50"/>
      <c r="E68" s="50"/>
      <c r="F68" s="50"/>
      <c r="G68" s="50"/>
      <c r="H68" s="50"/>
      <c r="I68" s="50"/>
      <c r="J68" s="50"/>
      <c r="K68" s="39"/>
    </row>
    <row r="69" spans="2:11" x14ac:dyDescent="0.25">
      <c r="B69" s="49"/>
      <c r="C69" s="50"/>
      <c r="D69" s="50"/>
      <c r="E69" s="50"/>
      <c r="F69" s="50"/>
      <c r="G69" s="50"/>
      <c r="H69" s="50"/>
      <c r="I69" s="50"/>
      <c r="J69" s="50"/>
      <c r="K69" s="39"/>
    </row>
    <row r="70" spans="2:11" x14ac:dyDescent="0.25">
      <c r="B70" s="49"/>
      <c r="C70" s="50"/>
      <c r="D70" s="50"/>
      <c r="E70" s="50"/>
      <c r="F70" s="50"/>
      <c r="G70" s="50"/>
      <c r="H70" s="50"/>
      <c r="I70" s="50"/>
      <c r="J70" s="50"/>
      <c r="K70" s="39"/>
    </row>
    <row r="71" spans="2:11" x14ac:dyDescent="0.25">
      <c r="B71" s="49"/>
      <c r="C71" s="50"/>
      <c r="D71" s="50"/>
      <c r="E71" s="50"/>
      <c r="F71" s="50"/>
      <c r="G71" s="50"/>
      <c r="H71" s="50"/>
      <c r="I71" s="50"/>
      <c r="J71" s="50"/>
      <c r="K71" s="39"/>
    </row>
    <row r="72" spans="2:11" x14ac:dyDescent="0.25">
      <c r="B72" s="49"/>
      <c r="C72" s="50"/>
      <c r="D72" s="50"/>
      <c r="E72" s="50"/>
      <c r="F72" s="50"/>
      <c r="G72" s="50"/>
      <c r="H72" s="50"/>
      <c r="I72" s="50"/>
      <c r="J72" s="50"/>
      <c r="K72" s="39"/>
    </row>
    <row r="73" spans="2:11" x14ac:dyDescent="0.25">
      <c r="B73" s="49"/>
      <c r="C73" s="50"/>
      <c r="D73" s="50"/>
      <c r="E73" s="50"/>
      <c r="F73" s="50"/>
      <c r="G73" s="50"/>
      <c r="H73" s="50"/>
      <c r="I73" s="50"/>
      <c r="J73" s="50"/>
      <c r="K73" s="39"/>
    </row>
    <row r="74" spans="2:11" x14ac:dyDescent="0.25">
      <c r="B74" s="49"/>
      <c r="C74" s="50"/>
      <c r="D74" s="50"/>
      <c r="E74" s="50"/>
      <c r="F74" s="50"/>
      <c r="G74" s="50"/>
      <c r="H74" s="50"/>
      <c r="I74" s="50"/>
      <c r="J74" s="50"/>
      <c r="K74" s="39"/>
    </row>
    <row r="75" spans="2:11" x14ac:dyDescent="0.25">
      <c r="B75" s="49"/>
      <c r="C75" s="50"/>
      <c r="D75" s="50"/>
      <c r="E75" s="50"/>
      <c r="F75" s="50"/>
      <c r="G75" s="50"/>
      <c r="H75" s="50"/>
      <c r="I75" s="50"/>
      <c r="J75" s="50"/>
      <c r="K75" s="39"/>
    </row>
    <row r="76" spans="2:11" x14ac:dyDescent="0.25">
      <c r="B76" s="49"/>
      <c r="C76" s="50"/>
      <c r="D76" s="50"/>
      <c r="E76" s="50"/>
      <c r="F76" s="50"/>
      <c r="G76" s="50"/>
      <c r="H76" s="50"/>
      <c r="I76" s="50"/>
      <c r="J76" s="50"/>
      <c r="K76" s="39"/>
    </row>
    <row r="77" spans="2:11" x14ac:dyDescent="0.25">
      <c r="B77" s="49"/>
      <c r="C77" s="50"/>
      <c r="D77" s="50"/>
      <c r="E77" s="50"/>
      <c r="F77" s="50"/>
      <c r="G77" s="50"/>
      <c r="H77" s="50"/>
      <c r="I77" s="50"/>
      <c r="J77" s="50"/>
      <c r="K77" s="39"/>
    </row>
    <row r="78" spans="2:11" x14ac:dyDescent="0.25">
      <c r="B78" s="51"/>
      <c r="C78" s="52"/>
      <c r="D78" s="52"/>
      <c r="E78" s="52"/>
      <c r="F78" s="52"/>
      <c r="G78" s="52"/>
      <c r="H78" s="52"/>
      <c r="I78" s="52"/>
      <c r="J78" s="52"/>
      <c r="K78" s="43"/>
    </row>
  </sheetData>
  <mergeCells count="5">
    <mergeCell ref="B2:K2"/>
    <mergeCell ref="B3:K3"/>
    <mergeCell ref="F5:J5"/>
    <mergeCell ref="C10:J10"/>
    <mergeCell ref="C5:D5"/>
  </mergeCells>
  <pageMargins left="0.7" right="0.7" top="0.75" bottom="0.75" header="0.3" footer="0.3"/>
  <pageSetup scale="66" orientation="landscape" r:id="rId1"/>
  <headerFooter>
    <oddFooter>&amp;L&amp;G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:AE85"/>
  <sheetViews>
    <sheetView zoomScale="85" zoomScaleNormal="85" workbookViewId="0">
      <selection activeCell="O3" sqref="O3"/>
    </sheetView>
  </sheetViews>
  <sheetFormatPr defaultColWidth="8.85546875" defaultRowHeight="12.75" x14ac:dyDescent="0.2"/>
  <cols>
    <col min="1" max="1" width="8.85546875" style="56" collapsed="1"/>
    <col min="2" max="2" width="49.140625" style="56" bestFit="1" customWidth="1" collapsed="1"/>
    <col min="3" max="5" width="15.28515625" style="56" bestFit="1" customWidth="1" collapsed="1"/>
    <col min="6" max="12" width="9.7109375" style="56" bestFit="1" customWidth="1" collapsed="1"/>
    <col min="13" max="13" width="12" style="56" customWidth="1" collapsed="1"/>
    <col min="14" max="14" width="7" style="56" customWidth="1" collapsed="1"/>
    <col min="15" max="19" width="50.85546875" style="56" customWidth="1" collapsed="1"/>
    <col min="20" max="20" width="39.85546875" style="56" bestFit="1" customWidth="1" collapsed="1"/>
    <col min="21" max="23" width="13.42578125" style="56" bestFit="1" customWidth="1" collapsed="1"/>
    <col min="24" max="26" width="5.85546875" style="56" bestFit="1" customWidth="1" collapsed="1"/>
    <col min="27" max="30" width="7" style="56" bestFit="1" customWidth="1" collapsed="1"/>
    <col min="31" max="16384" width="8.85546875" style="56" collapsed="1"/>
  </cols>
  <sheetData>
    <row r="1" spans="2:14" ht="69.75" customHeight="1" x14ac:dyDescent="0.2"/>
    <row r="2" spans="2:14" ht="42.6" customHeight="1" x14ac:dyDescent="0.2">
      <c r="B2" s="474" t="s">
        <v>1411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6"/>
    </row>
    <row r="3" spans="2:14" ht="30" customHeight="1" x14ac:dyDescent="0.2">
      <c r="B3" s="491" t="s">
        <v>2237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3"/>
    </row>
    <row r="4" spans="2:14" ht="30" customHeight="1" x14ac:dyDescent="0.2">
      <c r="B4" s="7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5"/>
    </row>
    <row r="5" spans="2:14" ht="20.25" x14ac:dyDescent="0.2">
      <c r="B5" s="76"/>
      <c r="C5" s="494" t="s">
        <v>33</v>
      </c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60"/>
    </row>
    <row r="6" spans="2:14" x14ac:dyDescent="0.2">
      <c r="B6" s="76"/>
      <c r="C6" s="70"/>
      <c r="D6" s="71"/>
      <c r="E6" s="71"/>
      <c r="F6" s="71"/>
      <c r="G6" s="71"/>
      <c r="H6" s="71"/>
      <c r="I6" s="71"/>
      <c r="J6" s="71"/>
      <c r="K6" s="71"/>
      <c r="L6" s="71"/>
      <c r="M6" s="72"/>
      <c r="N6" s="60"/>
    </row>
    <row r="7" spans="2:14" x14ac:dyDescent="0.2">
      <c r="B7" s="76"/>
      <c r="C7" s="490" t="s">
        <v>1408</v>
      </c>
      <c r="D7" s="485"/>
      <c r="E7" s="485"/>
      <c r="F7" s="485"/>
      <c r="G7" s="485"/>
      <c r="H7" s="84" t="s">
        <v>18</v>
      </c>
      <c r="I7" s="485" t="s">
        <v>622</v>
      </c>
      <c r="J7" s="485"/>
      <c r="K7" s="485"/>
      <c r="L7" s="485"/>
      <c r="M7" s="486"/>
      <c r="N7" s="60"/>
    </row>
    <row r="8" spans="2:14" x14ac:dyDescent="0.2">
      <c r="B8" s="13"/>
      <c r="C8" s="18" t="str">
        <f>RIGHT(Admin2!K2,4)</f>
        <v>2013</v>
      </c>
      <c r="D8" s="19" t="str">
        <f>RIGHT(Admin2!L2,4)</f>
        <v>2014</v>
      </c>
      <c r="E8" s="19" t="str">
        <f>RIGHT(Admin2!M2,4)</f>
        <v>2015</v>
      </c>
      <c r="F8" s="19" t="str">
        <f>RIGHT(Admin2!N2,4)</f>
        <v>2016</v>
      </c>
      <c r="G8" s="19" t="str">
        <f>RIGHT(Admin2!O2,4)</f>
        <v>2017</v>
      </c>
      <c r="H8" s="20" t="str">
        <f>RIGHT(Admin2!P2,4)</f>
        <v>2018</v>
      </c>
      <c r="I8" s="19" t="str">
        <f>RIGHT(Admin2!Q2,4)</f>
        <v>2019</v>
      </c>
      <c r="J8" s="19" t="str">
        <f>RIGHT(Admin2!R2,4)</f>
        <v>2020</v>
      </c>
      <c r="K8" s="19" t="str">
        <f>RIGHT(Admin2!S2,4)</f>
        <v>2021</v>
      </c>
      <c r="L8" s="19" t="str">
        <f>RIGHT(Admin2!T2,4)</f>
        <v>2022</v>
      </c>
      <c r="M8" s="73" t="str">
        <f>RIGHT(Admin2!U2,4)</f>
        <v>2023</v>
      </c>
      <c r="N8" s="60"/>
    </row>
    <row r="9" spans="2:14" ht="15.75" x14ac:dyDescent="0.2">
      <c r="B9" s="171" t="s">
        <v>34</v>
      </c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1"/>
      <c r="N9" s="60"/>
    </row>
    <row r="10" spans="2:14" ht="15" x14ac:dyDescent="0.2">
      <c r="B10" s="175" t="s">
        <v>35</v>
      </c>
      <c r="C10" s="252">
        <f>VLOOKUP('Scenario Assumptions'!$C$6,'Tax Rate 12 to 15'!$A$3:$AW$335,17,FALSE)</f>
        <v>8.7342200000000005</v>
      </c>
      <c r="D10" s="253">
        <f>VLOOKUP('Scenario Assumptions'!$C$6,'Tax Rate 12 to 15'!$A$3:$AW$335,10,FALSE)</f>
        <v>9.1182300000000005</v>
      </c>
      <c r="E10" s="253">
        <f>VLOOKUP('Scenario Assumptions'!$C$6,'Tax Rate 12 to 15'!$A$3:$AW$335,3,FALSE)</f>
        <v>9.5577100000000002</v>
      </c>
      <c r="F10" s="253">
        <f>Admin2!B109</f>
        <v>10.35399</v>
      </c>
      <c r="G10" s="253">
        <f>Admin2!C109</f>
        <v>10.2136</v>
      </c>
      <c r="H10" s="253">
        <f>Admin2!D109</f>
        <v>10.63008</v>
      </c>
      <c r="I10" s="253">
        <f>Admin2!E109</f>
        <v>10.8139</v>
      </c>
      <c r="J10" s="253">
        <f>Admin2!F109</f>
        <v>10.852309999999999</v>
      </c>
      <c r="K10" s="253">
        <f>Admin2!G109</f>
        <v>10.92817</v>
      </c>
      <c r="L10" s="253">
        <f>Admin2!H109</f>
        <v>10.95269</v>
      </c>
      <c r="M10" s="254">
        <f>Admin2!I109</f>
        <v>11.010060000000001</v>
      </c>
      <c r="N10" s="461"/>
    </row>
    <row r="11" spans="2:14" ht="15" x14ac:dyDescent="0.2">
      <c r="B11" s="175" t="s">
        <v>36</v>
      </c>
      <c r="C11" s="252">
        <f>VLOOKUP('Scenario Assumptions'!$C$6,'Tax Rate 12 to 15'!$A$3:$AW$335,18,FALSE)</f>
        <v>1.1160000000000001</v>
      </c>
      <c r="D11" s="253">
        <f>VLOOKUP('Scenario Assumptions'!$C$6,'Tax Rate 12 to 15'!$A$3:$AW$335,11,FALSE)</f>
        <v>1.2163999999999999</v>
      </c>
      <c r="E11" s="253">
        <f>VLOOKUP('Scenario Assumptions'!$C$6,'Tax Rate 12 to 15'!$A$3:$AW$335,4,FALSE)</f>
        <v>0.83916000000000002</v>
      </c>
      <c r="F11" s="253">
        <f>Admin2!B110</f>
        <v>0.79351000000000005</v>
      </c>
      <c r="G11" s="253">
        <f>Admin2!C110</f>
        <v>0.38315113130467432</v>
      </c>
      <c r="H11" s="253">
        <f>Admin2!D110</f>
        <v>0.37029683901842975</v>
      </c>
      <c r="I11" s="253">
        <f>Admin2!E110</f>
        <v>0.62914511585496991</v>
      </c>
      <c r="J11" s="253">
        <f>Admin2!F110</f>
        <v>0.61082050016914491</v>
      </c>
      <c r="K11" s="253">
        <f>Admin2!G110</f>
        <v>0.59302961261855325</v>
      </c>
      <c r="L11" s="253">
        <f>Admin2!H110</f>
        <v>0.57575690598529961</v>
      </c>
      <c r="M11" s="254">
        <f>Admin2!I110</f>
        <v>0.55898728675729037</v>
      </c>
      <c r="N11" s="60"/>
    </row>
    <row r="12" spans="2:14" ht="15" x14ac:dyDescent="0.2">
      <c r="B12" s="175" t="s">
        <v>37</v>
      </c>
      <c r="C12" s="252">
        <f>VLOOKUP('Scenario Assumptions'!$C$6,'Tax Rate 12 to 15'!$A$3:$AW$335,19,FALSE)</f>
        <v>0.33</v>
      </c>
      <c r="D12" s="253">
        <f>VLOOKUP('Scenario Assumptions'!$C$6,'Tax Rate 12 to 15'!$A$3:$AW$335,12,FALSE)</f>
        <v>0.33</v>
      </c>
      <c r="E12" s="253">
        <f>VLOOKUP('Scenario Assumptions'!$C$6,'Tax Rate 12 to 15'!$A$3:$AW$335,5,FALSE)</f>
        <v>0.33</v>
      </c>
      <c r="F12" s="253">
        <f>Admin2!B111</f>
        <v>0.33</v>
      </c>
      <c r="G12" s="253">
        <f>Admin2!C111</f>
        <v>0.31868999999999997</v>
      </c>
      <c r="H12" s="253">
        <f>Admin2!D111</f>
        <v>0.33</v>
      </c>
      <c r="I12" s="253">
        <f>Admin2!E111</f>
        <v>0.33</v>
      </c>
      <c r="J12" s="253">
        <f>Admin2!F111</f>
        <v>0.33</v>
      </c>
      <c r="K12" s="253">
        <f>Admin2!G111</f>
        <v>0.33</v>
      </c>
      <c r="L12" s="253">
        <f>Admin2!H111</f>
        <v>0.33</v>
      </c>
      <c r="M12" s="254">
        <f>Admin2!I111</f>
        <v>0.33</v>
      </c>
      <c r="N12" s="60"/>
    </row>
    <row r="13" spans="2:14" ht="15" x14ac:dyDescent="0.2">
      <c r="B13" s="175" t="s">
        <v>38</v>
      </c>
      <c r="C13" s="252">
        <f>VLOOKUP('Scenario Assumptions'!$C$6,'Tax Rate 12 to 15'!$A$3:$AW$335,20,FALSE)</f>
        <v>0</v>
      </c>
      <c r="D13" s="253">
        <f>VLOOKUP('Scenario Assumptions'!$C$6,'Tax Rate 12 to 15'!$A$3:$AW$335,13,FALSE)</f>
        <v>0</v>
      </c>
      <c r="E13" s="253">
        <f>VLOOKUP('Scenario Assumptions'!$C$6,'Tax Rate 12 to 15'!$A$3:$AW$335,6,FALSE)</f>
        <v>0</v>
      </c>
      <c r="F13" s="253">
        <f>Admin2!B112</f>
        <v>0</v>
      </c>
      <c r="G13" s="253">
        <f>Admin2!C112</f>
        <v>0</v>
      </c>
      <c r="H13" s="253">
        <f>Admin2!D112</f>
        <v>0</v>
      </c>
      <c r="I13" s="253">
        <f>Admin2!E112</f>
        <v>0</v>
      </c>
      <c r="J13" s="253">
        <f>Admin2!F112</f>
        <v>0</v>
      </c>
      <c r="K13" s="253">
        <f>Admin2!G112</f>
        <v>0</v>
      </c>
      <c r="L13" s="253">
        <f>Admin2!H112</f>
        <v>0</v>
      </c>
      <c r="M13" s="254">
        <f>Admin2!I112</f>
        <v>0</v>
      </c>
      <c r="N13" s="60"/>
    </row>
    <row r="14" spans="2:14" ht="15" x14ac:dyDescent="0.2">
      <c r="B14" s="175" t="s">
        <v>39</v>
      </c>
      <c r="C14" s="252">
        <f>VLOOKUP('Scenario Assumptions'!$C$6,'Tax Rate 12 to 15'!$A$3:$AW$335,21,FALSE)</f>
        <v>0</v>
      </c>
      <c r="D14" s="253">
        <f>VLOOKUP('Scenario Assumptions'!$C$6,'Tax Rate 12 to 15'!$A$3:$AW$335,14,FALSE)</f>
        <v>0</v>
      </c>
      <c r="E14" s="253">
        <f>VLOOKUP('Scenario Assumptions'!$C$6,'Tax Rate 12 to 15'!$A$3:$AW$335,7,FALSE)</f>
        <v>0</v>
      </c>
      <c r="F14" s="253">
        <f>Admin2!B113</f>
        <v>0</v>
      </c>
      <c r="G14" s="253">
        <f>Admin2!C113</f>
        <v>0</v>
      </c>
      <c r="H14" s="253">
        <f>Admin2!D113</f>
        <v>0</v>
      </c>
      <c r="I14" s="253">
        <f>Admin2!E113</f>
        <v>0</v>
      </c>
      <c r="J14" s="253">
        <f>Admin2!F113</f>
        <v>0</v>
      </c>
      <c r="K14" s="253">
        <f>Admin2!G113</f>
        <v>0</v>
      </c>
      <c r="L14" s="253">
        <f>Admin2!H113</f>
        <v>0</v>
      </c>
      <c r="M14" s="254">
        <f>Admin2!I113</f>
        <v>0</v>
      </c>
      <c r="N14" s="60"/>
    </row>
    <row r="15" spans="2:14" ht="15" x14ac:dyDescent="0.2">
      <c r="B15" s="175" t="s">
        <v>40</v>
      </c>
      <c r="C15" s="252">
        <f>VLOOKUP('Scenario Assumptions'!$C$6,'Tax Rate 12 to 15'!$A$3:$AW$335,22,FALSE)</f>
        <v>0</v>
      </c>
      <c r="D15" s="253">
        <f>VLOOKUP('Scenario Assumptions'!$C$6,'Tax Rate 12 to 15'!$A$3:$AW$335,15,FALSE)</f>
        <v>0</v>
      </c>
      <c r="E15" s="253">
        <f>VLOOKUP('Scenario Assumptions'!$C$6,'Tax Rate 12 to 15'!$A$3:$AW$335,8,FALSE)</f>
        <v>0</v>
      </c>
      <c r="F15" s="253">
        <f>Admin2!B114</f>
        <v>0</v>
      </c>
      <c r="G15" s="253">
        <f>Admin2!C114</f>
        <v>0</v>
      </c>
      <c r="H15" s="253">
        <f>Admin2!D114</f>
        <v>0</v>
      </c>
      <c r="I15" s="253">
        <f>Admin2!E114</f>
        <v>0</v>
      </c>
      <c r="J15" s="253">
        <f>Admin2!F114</f>
        <v>0</v>
      </c>
      <c r="K15" s="253">
        <f>Admin2!G114</f>
        <v>0</v>
      </c>
      <c r="L15" s="253">
        <f>Admin2!H114</f>
        <v>0</v>
      </c>
      <c r="M15" s="254">
        <f>Admin2!I114</f>
        <v>0</v>
      </c>
      <c r="N15" s="60"/>
    </row>
    <row r="16" spans="2:14" ht="15" x14ac:dyDescent="0.2">
      <c r="B16" s="175" t="s">
        <v>41</v>
      </c>
      <c r="C16" s="252">
        <f>VLOOKUP('Scenario Assumptions'!$C$6,'Tax Rate 12 to 15'!$A$3:$AW$335,23,FALSE)</f>
        <v>0</v>
      </c>
      <c r="D16" s="253">
        <f>VLOOKUP('Scenario Assumptions'!$C$6,'Tax Rate 12 to 15'!$A$3:$AW$335,16,FALSE)</f>
        <v>0</v>
      </c>
      <c r="E16" s="253">
        <f>VLOOKUP('Scenario Assumptions'!$C$6,'Tax Rate 12 to 15'!$A$3:$AW$335,9,FALSE)</f>
        <v>0</v>
      </c>
      <c r="F16" s="253">
        <f>Admin2!B115</f>
        <v>0</v>
      </c>
      <c r="G16" s="253">
        <f>Admin2!C115</f>
        <v>0</v>
      </c>
      <c r="H16" s="253">
        <f>Admin2!D115</f>
        <v>0</v>
      </c>
      <c r="I16" s="253">
        <f>Admin2!E115</f>
        <v>2.2469468423391783</v>
      </c>
      <c r="J16" s="253">
        <f>Admin2!F115</f>
        <v>2.2268770234737967</v>
      </c>
      <c r="K16" s="253">
        <f>Admin2!G115</f>
        <v>2.1687940118621376</v>
      </c>
      <c r="L16" s="253">
        <f>Admin2!H115</f>
        <v>2.1615559270419538</v>
      </c>
      <c r="M16" s="254">
        <f>Admin2!I115</f>
        <v>2.1209574766105188</v>
      </c>
      <c r="N16" s="60"/>
    </row>
    <row r="17" spans="2:14" ht="15.75" x14ac:dyDescent="0.2">
      <c r="B17" s="171" t="s">
        <v>42</v>
      </c>
      <c r="C17" s="255">
        <f t="shared" ref="C17:K17" si="0">SUM(C10:C16)</f>
        <v>10.18022</v>
      </c>
      <c r="D17" s="256">
        <f t="shared" si="0"/>
        <v>10.664630000000001</v>
      </c>
      <c r="E17" s="256">
        <f t="shared" si="0"/>
        <v>10.72687</v>
      </c>
      <c r="F17" s="256">
        <f>SUM(F10:F16)</f>
        <v>11.477499999999999</v>
      </c>
      <c r="G17" s="256">
        <f t="shared" si="0"/>
        <v>10.915441131304673</v>
      </c>
      <c r="H17" s="256">
        <f t="shared" si="0"/>
        <v>11.330376839018429</v>
      </c>
      <c r="I17" s="256">
        <f t="shared" si="0"/>
        <v>14.019991958194147</v>
      </c>
      <c r="J17" s="256">
        <f t="shared" si="0"/>
        <v>14.020007523642942</v>
      </c>
      <c r="K17" s="256">
        <f t="shared" si="0"/>
        <v>14.019993624480691</v>
      </c>
      <c r="L17" s="256">
        <f t="shared" ref="L17:M17" si="1">SUM(L10:L16)</f>
        <v>14.020002833027254</v>
      </c>
      <c r="M17" s="257">
        <f t="shared" si="1"/>
        <v>14.02000476336781</v>
      </c>
      <c r="N17" s="461"/>
    </row>
    <row r="18" spans="2:14" ht="15" x14ac:dyDescent="0.2">
      <c r="B18" s="175"/>
      <c r="C18" s="258"/>
      <c r="D18" s="173"/>
      <c r="E18" s="259"/>
      <c r="F18" s="173"/>
      <c r="G18" s="259"/>
      <c r="H18" s="173"/>
      <c r="I18" s="259"/>
      <c r="J18" s="173"/>
      <c r="K18" s="259"/>
      <c r="L18" s="164"/>
      <c r="M18" s="162"/>
      <c r="N18" s="60"/>
    </row>
    <row r="19" spans="2:14" ht="15.75" x14ac:dyDescent="0.2">
      <c r="B19" s="171"/>
      <c r="C19" s="258"/>
      <c r="D19" s="173"/>
      <c r="E19" s="259"/>
      <c r="F19" s="173"/>
      <c r="G19" s="259"/>
      <c r="H19" s="173"/>
      <c r="I19" s="259"/>
      <c r="J19" s="173"/>
      <c r="K19" s="259"/>
      <c r="L19" s="164"/>
      <c r="M19" s="162"/>
      <c r="N19" s="60"/>
    </row>
    <row r="20" spans="2:14" ht="20.25" x14ac:dyDescent="0.2">
      <c r="B20" s="77"/>
      <c r="C20" s="494" t="s">
        <v>43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60"/>
    </row>
    <row r="21" spans="2:14" x14ac:dyDescent="0.2">
      <c r="B21" s="13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0"/>
    </row>
    <row r="22" spans="2:14" ht="15" x14ac:dyDescent="0.2">
      <c r="B22" s="175" t="s">
        <v>44</v>
      </c>
      <c r="C22" s="260">
        <f>VLOOKUP('Scenario Assumptions'!$C$6,'Tax Rate 12 to 15'!$A$3:$AW$335,38,FALSE)</f>
        <v>0.1</v>
      </c>
      <c r="D22" s="261">
        <f>VLOOKUP('Scenario Assumptions'!$C$6,'Tax Rate 12 to 15'!$A$3:$AW$335,32,FALSE)</f>
        <v>0.08</v>
      </c>
      <c r="E22" s="261">
        <f>Admin2!A317</f>
        <v>0.01</v>
      </c>
      <c r="F22" s="262">
        <f>Admin2!B317</f>
        <v>0.01</v>
      </c>
      <c r="G22" s="262">
        <f>Admin2!C317</f>
        <v>0.09</v>
      </c>
      <c r="H22" s="262">
        <f>Admin2!D242*1</f>
        <v>0.09</v>
      </c>
      <c r="I22" s="261">
        <f>Admin2!E242*1</f>
        <v>0.09</v>
      </c>
      <c r="J22" s="261">
        <f>Admin2!F242*1</f>
        <v>0.09</v>
      </c>
      <c r="K22" s="261">
        <f>Admin2!G242*1</f>
        <v>0.09</v>
      </c>
      <c r="L22" s="261">
        <f>Admin2!H242*1</f>
        <v>0.09</v>
      </c>
      <c r="M22" s="263">
        <f>Admin2!I242*1</f>
        <v>0.09</v>
      </c>
      <c r="N22" s="162"/>
    </row>
    <row r="23" spans="2:14" ht="15" x14ac:dyDescent="0.2">
      <c r="B23" s="175" t="s">
        <v>45</v>
      </c>
      <c r="C23" s="264">
        <f>VLOOKUP('Scenario Assumptions'!$C$6,'Tax Rate 12 to 15'!$A$3:$AW$335,39,FALSE)</f>
        <v>243265</v>
      </c>
      <c r="D23" s="265">
        <f>VLOOKUP('Scenario Assumptions'!$C$6,'Tax Rate 12 to 15'!$A$3:$AW$335,33,FALSE)</f>
        <v>222032</v>
      </c>
      <c r="E23" s="265">
        <f>Admin2!B195</f>
        <v>30755</v>
      </c>
      <c r="F23" s="265">
        <f>Admin2!C195</f>
        <v>26676</v>
      </c>
      <c r="G23" s="265">
        <f>Admin2!D195</f>
        <v>26626</v>
      </c>
      <c r="H23" s="265">
        <f>Admin2!E195</f>
        <v>247886</v>
      </c>
      <c r="I23" s="265">
        <f>Admin2!F195</f>
        <v>250365</v>
      </c>
      <c r="J23" s="265">
        <f>Admin2!G195</f>
        <v>252869</v>
      </c>
      <c r="K23" s="265">
        <f>Admin2!H195</f>
        <v>255397</v>
      </c>
      <c r="L23" s="265">
        <f>Admin2!I195</f>
        <v>257951</v>
      </c>
      <c r="M23" s="266">
        <f>Admin2!J195</f>
        <v>260531</v>
      </c>
      <c r="N23" s="162"/>
    </row>
    <row r="24" spans="2:14" ht="15" x14ac:dyDescent="0.2">
      <c r="B24" s="175"/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162"/>
      <c r="N24" s="162"/>
    </row>
    <row r="25" spans="2:14" ht="15" x14ac:dyDescent="0.2">
      <c r="B25" s="175" t="s">
        <v>46</v>
      </c>
      <c r="C25" s="269">
        <f>VLOOKUP('Scenario Assumptions'!$C$6,'Tax Rate 12 to 15'!$A$3:$AW$335,40,FALSE)</f>
        <v>0</v>
      </c>
      <c r="D25" s="270">
        <f>VLOOKUP('Scenario Assumptions'!$C$6,'Tax Rate 12 to 15'!$A$3:$AW$335,34,FALSE)</f>
        <v>0</v>
      </c>
      <c r="E25" s="270">
        <f>Admin2!A319</f>
        <v>0</v>
      </c>
      <c r="F25" s="270">
        <f>Admin2!B319</f>
        <v>0</v>
      </c>
      <c r="G25" s="270">
        <f>Admin2!C319</f>
        <v>0</v>
      </c>
      <c r="H25" s="270">
        <f>Admin2!D244*1</f>
        <v>0</v>
      </c>
      <c r="I25" s="270">
        <f>Admin2!E244*1</f>
        <v>0</v>
      </c>
      <c r="J25" s="270">
        <f>Admin2!F244*1</f>
        <v>0</v>
      </c>
      <c r="K25" s="270">
        <f>Admin2!G244*1</f>
        <v>0</v>
      </c>
      <c r="L25" s="270">
        <f>Admin2!H244*1</f>
        <v>0</v>
      </c>
      <c r="M25" s="271">
        <f>Admin2!I244*1</f>
        <v>0</v>
      </c>
      <c r="N25" s="162"/>
    </row>
    <row r="26" spans="2:14" ht="15" x14ac:dyDescent="0.2">
      <c r="B26" s="175" t="s">
        <v>47</v>
      </c>
      <c r="C26" s="264">
        <f>VLOOKUP('Scenario Assumptions'!$C$6,'Tax Rate 12 to 15'!$A$3:$AW$335,41,FALSE)</f>
        <v>0</v>
      </c>
      <c r="D26" s="265">
        <f>VLOOKUP('Scenario Assumptions'!$C$6,'Tax Rate 12 to 15'!$A$3:$AW$335,35,FALSE)</f>
        <v>0</v>
      </c>
      <c r="E26" s="265">
        <f>Admin2!B196</f>
        <v>0</v>
      </c>
      <c r="F26" s="265">
        <f>Admin2!C196</f>
        <v>0</v>
      </c>
      <c r="G26" s="265">
        <f>Admin2!D196</f>
        <v>0</v>
      </c>
      <c r="H26" s="265">
        <f>Admin2!E196</f>
        <v>0</v>
      </c>
      <c r="I26" s="265">
        <f>Admin2!F196</f>
        <v>0</v>
      </c>
      <c r="J26" s="265">
        <f>Admin2!G196</f>
        <v>0</v>
      </c>
      <c r="K26" s="265">
        <f>Admin2!H196</f>
        <v>0</v>
      </c>
      <c r="L26" s="265">
        <f>Admin2!I196</f>
        <v>0</v>
      </c>
      <c r="M26" s="266">
        <f>Admin2!J196</f>
        <v>0</v>
      </c>
      <c r="N26" s="162"/>
    </row>
    <row r="27" spans="2:14" ht="15" x14ac:dyDescent="0.2">
      <c r="B27" s="175"/>
      <c r="C27" s="267"/>
      <c r="D27" s="268"/>
      <c r="E27" s="268"/>
      <c r="F27" s="268"/>
      <c r="G27" s="268"/>
      <c r="H27" s="268"/>
      <c r="I27" s="268"/>
      <c r="J27" s="268"/>
      <c r="K27" s="268"/>
      <c r="L27" s="268"/>
      <c r="M27" s="162"/>
      <c r="N27" s="162"/>
    </row>
    <row r="28" spans="2:14" ht="15" x14ac:dyDescent="0.2">
      <c r="B28" s="175" t="s">
        <v>48</v>
      </c>
      <c r="C28" s="272">
        <f>VLOOKUP('Scenario Assumptions'!$C$6,'Tax Rate 12 to 15'!$A$3:$AW$335,42,FALSE)</f>
        <v>0</v>
      </c>
      <c r="D28" s="273">
        <f>VLOOKUP('Scenario Assumptions'!$C$6,'Tax Rate 12 to 15'!$A$3:$AW$335,36,FALSE)</f>
        <v>0</v>
      </c>
      <c r="E28" s="273">
        <f>Admin2!A336</f>
        <v>0</v>
      </c>
      <c r="F28" s="273">
        <f>Admin2!B336</f>
        <v>0</v>
      </c>
      <c r="G28" s="273">
        <f>Admin2!C336</f>
        <v>0</v>
      </c>
      <c r="H28" s="273">
        <f>Admin2!D280*1</f>
        <v>0</v>
      </c>
      <c r="I28" s="273">
        <f>Admin2!E280*1</f>
        <v>0</v>
      </c>
      <c r="J28" s="273">
        <f>Admin2!F280*1</f>
        <v>0</v>
      </c>
      <c r="K28" s="273">
        <f>Admin2!G280*1</f>
        <v>0</v>
      </c>
      <c r="L28" s="273">
        <f>Admin2!H280*1</f>
        <v>0</v>
      </c>
      <c r="M28" s="274">
        <f>Admin2!I280*1</f>
        <v>0</v>
      </c>
      <c r="N28" s="162"/>
    </row>
    <row r="29" spans="2:14" ht="15" x14ac:dyDescent="0.2">
      <c r="B29" s="175" t="s">
        <v>49</v>
      </c>
      <c r="C29" s="264">
        <f>VLOOKUP('Scenario Assumptions'!$C$6,'Tax Rate 12 to 15'!$A$3:$AW$335,43,FALSE)</f>
        <v>0</v>
      </c>
      <c r="D29" s="265">
        <f>VLOOKUP('Scenario Assumptions'!$C$6,'Tax Rate 12 to 15'!$A$3:$AW$335,37,FALSE)</f>
        <v>0</v>
      </c>
      <c r="E29" s="265">
        <f>Admin2!B197</f>
        <v>0</v>
      </c>
      <c r="F29" s="265">
        <f>Admin2!C197</f>
        <v>0</v>
      </c>
      <c r="G29" s="265">
        <f>Admin2!D197</f>
        <v>0</v>
      </c>
      <c r="H29" s="265">
        <f>Admin2!E197</f>
        <v>0</v>
      </c>
      <c r="I29" s="265">
        <f>Admin2!F197</f>
        <v>0</v>
      </c>
      <c r="J29" s="265">
        <f>Admin2!G197</f>
        <v>0</v>
      </c>
      <c r="K29" s="265">
        <f>Admin2!H197</f>
        <v>0</v>
      </c>
      <c r="L29" s="265">
        <f>Admin2!I197</f>
        <v>0</v>
      </c>
      <c r="M29" s="266">
        <f>Admin2!J197</f>
        <v>0</v>
      </c>
      <c r="N29" s="162"/>
    </row>
    <row r="30" spans="2:14" ht="15.75" x14ac:dyDescent="0.2">
      <c r="B30" s="161"/>
      <c r="C30" s="275"/>
      <c r="D30" s="276"/>
      <c r="E30" s="276"/>
      <c r="F30" s="276"/>
      <c r="G30" s="276"/>
      <c r="H30" s="276"/>
      <c r="I30" s="276"/>
      <c r="J30" s="276"/>
      <c r="K30" s="276"/>
      <c r="L30" s="276"/>
      <c r="M30" s="162"/>
      <c r="N30" s="162"/>
    </row>
    <row r="31" spans="2:14" ht="15.75" x14ac:dyDescent="0.2">
      <c r="B31" s="171" t="s">
        <v>50</v>
      </c>
      <c r="C31" s="277">
        <f>C22+C25+C28</f>
        <v>0.1</v>
      </c>
      <c r="D31" s="278">
        <f t="shared" ref="C31:K32" si="2">D22+D25+D28</f>
        <v>0.08</v>
      </c>
      <c r="E31" s="278">
        <f t="shared" si="2"/>
        <v>0.01</v>
      </c>
      <c r="F31" s="278">
        <f t="shared" si="2"/>
        <v>0.01</v>
      </c>
      <c r="G31" s="278">
        <f t="shared" si="2"/>
        <v>0.09</v>
      </c>
      <c r="H31" s="278">
        <f t="shared" si="2"/>
        <v>0.09</v>
      </c>
      <c r="I31" s="278">
        <f t="shared" si="2"/>
        <v>0.09</v>
      </c>
      <c r="J31" s="278">
        <f t="shared" si="2"/>
        <v>0.09</v>
      </c>
      <c r="K31" s="278">
        <f t="shared" si="2"/>
        <v>0.09</v>
      </c>
      <c r="L31" s="278">
        <f t="shared" ref="L31:M31" si="3">L22+L25+L28</f>
        <v>0.09</v>
      </c>
      <c r="M31" s="279">
        <f t="shared" si="3"/>
        <v>0.09</v>
      </c>
      <c r="N31" s="162"/>
    </row>
    <row r="32" spans="2:14" ht="15.75" x14ac:dyDescent="0.2">
      <c r="B32" s="171" t="s">
        <v>51</v>
      </c>
      <c r="C32" s="280">
        <f t="shared" si="2"/>
        <v>243265</v>
      </c>
      <c r="D32" s="281">
        <f>D23+D26+D29</f>
        <v>222032</v>
      </c>
      <c r="E32" s="281">
        <f t="shared" si="2"/>
        <v>30755</v>
      </c>
      <c r="F32" s="281">
        <f t="shared" si="2"/>
        <v>26676</v>
      </c>
      <c r="G32" s="281">
        <f t="shared" si="2"/>
        <v>26626</v>
      </c>
      <c r="H32" s="281">
        <f t="shared" si="2"/>
        <v>247886</v>
      </c>
      <c r="I32" s="281">
        <f t="shared" si="2"/>
        <v>250365</v>
      </c>
      <c r="J32" s="281">
        <f t="shared" si="2"/>
        <v>252869</v>
      </c>
      <c r="K32" s="281">
        <f t="shared" si="2"/>
        <v>255397</v>
      </c>
      <c r="L32" s="281">
        <f t="shared" ref="L32:M32" si="4">L23+L26+L29</f>
        <v>257951</v>
      </c>
      <c r="M32" s="282">
        <f t="shared" si="4"/>
        <v>260531</v>
      </c>
      <c r="N32" s="162"/>
    </row>
    <row r="33" spans="2:31" ht="30" customHeight="1" x14ac:dyDescent="0.2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</row>
    <row r="38" spans="2:31" ht="14.25" customHeight="1" x14ac:dyDescent="0.2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31" x14ac:dyDescent="0.2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2:31" x14ac:dyDescent="0.2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2:31" x14ac:dyDescent="0.2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</row>
    <row r="42" spans="2:31" x14ac:dyDescent="0.2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2:31" x14ac:dyDescent="0.2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2:31" x14ac:dyDescent="0.2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2:31" x14ac:dyDescent="0.2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</row>
    <row r="46" spans="2:31" x14ac:dyDescent="0.2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U46" s="56" t="str">
        <f>RIGHT(Admin2!K2,4)</f>
        <v>2013</v>
      </c>
      <c r="V46" s="56" t="str">
        <f>RIGHT(Admin2!L2,4)</f>
        <v>2014</v>
      </c>
      <c r="W46" s="56" t="str">
        <f>RIGHT(Admin2!M2,4)</f>
        <v>2015</v>
      </c>
      <c r="X46" s="56" t="str">
        <f>RIGHT(Admin2!N2,4)</f>
        <v>2016</v>
      </c>
      <c r="Y46" s="56" t="str">
        <f>RIGHT(Admin2!O2,4)</f>
        <v>2017</v>
      </c>
      <c r="Z46" s="56" t="str">
        <f>RIGHT(Admin2!P2,4)</f>
        <v>2018</v>
      </c>
      <c r="AA46" s="56" t="str">
        <f>RIGHT(Admin2!Q2,4)</f>
        <v>2019</v>
      </c>
      <c r="AB46" s="56" t="str">
        <f>RIGHT(Admin2!R2,4)</f>
        <v>2020</v>
      </c>
      <c r="AC46" s="56" t="str">
        <f>RIGHT(Admin2!S2,4)</f>
        <v>2021</v>
      </c>
      <c r="AD46" s="56" t="str">
        <f>RIGHT(Admin2!T2,4)</f>
        <v>2022</v>
      </c>
      <c r="AE46" s="56" t="str">
        <f>RIGHT(Admin2!U2,4)</f>
        <v>2023</v>
      </c>
    </row>
    <row r="47" spans="2:31" x14ac:dyDescent="0.2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T47" s="56" t="s">
        <v>44</v>
      </c>
      <c r="U47" s="68">
        <f t="shared" ref="U47:AE47" si="5">C22</f>
        <v>0.1</v>
      </c>
      <c r="V47" s="68">
        <f>D22</f>
        <v>0.08</v>
      </c>
      <c r="W47" s="68">
        <f t="shared" si="5"/>
        <v>0.01</v>
      </c>
      <c r="X47" s="68">
        <f t="shared" si="5"/>
        <v>0.01</v>
      </c>
      <c r="Y47" s="68">
        <f t="shared" si="5"/>
        <v>0.09</v>
      </c>
      <c r="Z47" s="68">
        <f t="shared" si="5"/>
        <v>0.09</v>
      </c>
      <c r="AA47" s="68">
        <f t="shared" si="5"/>
        <v>0.09</v>
      </c>
      <c r="AB47" s="68">
        <f t="shared" si="5"/>
        <v>0.09</v>
      </c>
      <c r="AC47" s="68">
        <f t="shared" si="5"/>
        <v>0.09</v>
      </c>
      <c r="AD47" s="68">
        <f t="shared" si="5"/>
        <v>0.09</v>
      </c>
      <c r="AE47" s="68">
        <f t="shared" si="5"/>
        <v>0.09</v>
      </c>
    </row>
    <row r="48" spans="2:31" x14ac:dyDescent="0.2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T48" s="56" t="s">
        <v>46</v>
      </c>
      <c r="U48" s="68">
        <f t="shared" ref="U48:AE48" si="6">C25</f>
        <v>0</v>
      </c>
      <c r="V48" s="68">
        <f t="shared" si="6"/>
        <v>0</v>
      </c>
      <c r="W48" s="68">
        <f t="shared" si="6"/>
        <v>0</v>
      </c>
      <c r="X48" s="68">
        <f t="shared" si="6"/>
        <v>0</v>
      </c>
      <c r="Y48" s="68">
        <f t="shared" si="6"/>
        <v>0</v>
      </c>
      <c r="Z48" s="68">
        <f t="shared" si="6"/>
        <v>0</v>
      </c>
      <c r="AA48" s="68">
        <f t="shared" si="6"/>
        <v>0</v>
      </c>
      <c r="AB48" s="68">
        <f t="shared" si="6"/>
        <v>0</v>
      </c>
      <c r="AC48" s="68">
        <f t="shared" si="6"/>
        <v>0</v>
      </c>
      <c r="AD48" s="68">
        <f t="shared" si="6"/>
        <v>0</v>
      </c>
      <c r="AE48" s="68">
        <f t="shared" si="6"/>
        <v>0</v>
      </c>
    </row>
    <row r="49" spans="2:31" x14ac:dyDescent="0.2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  <c r="T49" s="56" t="s">
        <v>48</v>
      </c>
      <c r="U49" s="68">
        <f t="shared" ref="U49:AE49" si="7">C28</f>
        <v>0</v>
      </c>
      <c r="V49" s="68">
        <f t="shared" si="7"/>
        <v>0</v>
      </c>
      <c r="W49" s="68">
        <f t="shared" si="7"/>
        <v>0</v>
      </c>
      <c r="X49" s="68">
        <f t="shared" si="7"/>
        <v>0</v>
      </c>
      <c r="Y49" s="68">
        <f t="shared" si="7"/>
        <v>0</v>
      </c>
      <c r="Z49" s="68">
        <f t="shared" si="7"/>
        <v>0</v>
      </c>
      <c r="AA49" s="68">
        <f t="shared" si="7"/>
        <v>0</v>
      </c>
      <c r="AB49" s="68">
        <f t="shared" si="7"/>
        <v>0</v>
      </c>
      <c r="AC49" s="68">
        <f t="shared" si="7"/>
        <v>0</v>
      </c>
      <c r="AD49" s="68">
        <f t="shared" si="7"/>
        <v>0</v>
      </c>
      <c r="AE49" s="68">
        <f t="shared" si="7"/>
        <v>0</v>
      </c>
    </row>
    <row r="50" spans="2:31" x14ac:dyDescent="0.2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2:31" x14ac:dyDescent="0.2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2:31" x14ac:dyDescent="0.2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</row>
    <row r="53" spans="2:31" x14ac:dyDescent="0.2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0"/>
    </row>
    <row r="54" spans="2:31" x14ac:dyDescent="0.2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2:31" x14ac:dyDescent="0.2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/>
    </row>
    <row r="56" spans="2:31" x14ac:dyDescent="0.2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</row>
    <row r="57" spans="2:31" x14ac:dyDescent="0.2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/>
    </row>
    <row r="58" spans="2:31" x14ac:dyDescent="0.2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2:31" x14ac:dyDescent="0.2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</row>
    <row r="60" spans="2:31" x14ac:dyDescent="0.2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</row>
    <row r="61" spans="2:31" x14ac:dyDescent="0.2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60"/>
    </row>
    <row r="62" spans="2:31" x14ac:dyDescent="0.2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2:31" x14ac:dyDescent="0.2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</row>
    <row r="64" spans="2:31" x14ac:dyDescent="0.2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2:14" x14ac:dyDescent="0.2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</row>
    <row r="66" spans="2:14" x14ac:dyDescent="0.2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2:14" x14ac:dyDescent="0.2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</row>
    <row r="68" spans="2:14" x14ac:dyDescent="0.2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</row>
    <row r="69" spans="2:14" x14ac:dyDescent="0.2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0"/>
    </row>
    <row r="70" spans="2:14" x14ac:dyDescent="0.2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  <row r="71" spans="2:14" x14ac:dyDescent="0.2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</row>
    <row r="72" spans="2:14" x14ac:dyDescent="0.2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</row>
    <row r="73" spans="2:14" x14ac:dyDescent="0.2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</row>
    <row r="74" spans="2:14" x14ac:dyDescent="0.2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</row>
    <row r="75" spans="2:14" x14ac:dyDescent="0.2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</row>
    <row r="76" spans="2:14" x14ac:dyDescent="0.2">
      <c r="B76" s="58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</row>
    <row r="77" spans="2:14" x14ac:dyDescent="0.2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60"/>
    </row>
    <row r="78" spans="2:14" x14ac:dyDescent="0.2"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60"/>
    </row>
    <row r="79" spans="2:14" x14ac:dyDescent="0.2"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</row>
    <row r="80" spans="2:14" x14ac:dyDescent="0.2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</row>
    <row r="81" spans="2:14" x14ac:dyDescent="0.2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</row>
    <row r="82" spans="2:14" x14ac:dyDescent="0.2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</row>
    <row r="83" spans="2:14" x14ac:dyDescent="0.2"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</row>
    <row r="84" spans="2:14" x14ac:dyDescent="0.2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0"/>
    </row>
    <row r="85" spans="2:14" x14ac:dyDescent="0.2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80"/>
    </row>
  </sheetData>
  <mergeCells count="6">
    <mergeCell ref="B2:N2"/>
    <mergeCell ref="B3:N3"/>
    <mergeCell ref="C5:M5"/>
    <mergeCell ref="C20:M20"/>
    <mergeCell ref="C7:G7"/>
    <mergeCell ref="I7:M7"/>
  </mergeCells>
  <pageMargins left="0.7" right="0.7" top="0.75" bottom="0.75" header="0.3" footer="0.3"/>
  <pageSetup scale="67" orientation="landscape" r:id="rId1"/>
  <headerFooter>
    <oddFooter>&amp;L&amp;G</oddFooter>
  </headerFooter>
  <rowBreaks count="1" manualBreakCount="1">
    <brk id="37" max="16383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O44"/>
  <sheetViews>
    <sheetView showGridLines="0" topLeftCell="B2" zoomScale="85" zoomScaleNormal="85" workbookViewId="0">
      <pane xSplit="2" ySplit="4" topLeftCell="D6" activePane="bottomRight" state="frozen"/>
      <selection activeCell="B2" sqref="B2"/>
      <selection pane="topRight" activeCell="D2" sqref="D2"/>
      <selection pane="bottomLeft" activeCell="B6" sqref="B6"/>
      <selection pane="bottomRight" activeCell="O3" sqref="O3"/>
    </sheetView>
  </sheetViews>
  <sheetFormatPr defaultColWidth="8.85546875" defaultRowHeight="15" x14ac:dyDescent="0.25"/>
  <cols>
    <col min="1" max="1" width="8.85546875" style="55"/>
    <col min="2" max="2" width="41.7109375" style="55" bestFit="1" customWidth="1" collapsed="1"/>
    <col min="3" max="3" width="2.42578125" style="55" bestFit="1" customWidth="1" collapsed="1"/>
    <col min="4" max="14" width="16.7109375" style="55" customWidth="1" collapsed="1"/>
    <col min="15" max="15" width="1.28515625" style="55" customWidth="1" collapsed="1"/>
    <col min="16" max="16384" width="8.85546875" style="55"/>
  </cols>
  <sheetData>
    <row r="1" spans="2:14" ht="29.25" customHeight="1" x14ac:dyDescent="0.25"/>
    <row r="2" spans="2:14" ht="42.6" customHeight="1" x14ac:dyDescent="0.25">
      <c r="B2" s="496" t="s">
        <v>52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8"/>
    </row>
    <row r="3" spans="2:14" ht="30" customHeight="1" x14ac:dyDescent="0.25">
      <c r="B3" s="499" t="s">
        <v>2236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00"/>
    </row>
    <row r="4" spans="2:14" ht="15.75" customHeight="1" x14ac:dyDescent="0.25">
      <c r="B4" s="377"/>
      <c r="C4" s="378"/>
      <c r="D4" s="379" t="s">
        <v>53</v>
      </c>
      <c r="E4" s="380" t="s">
        <v>53</v>
      </c>
      <c r="F4" s="380" t="s">
        <v>53</v>
      </c>
      <c r="G4" s="380" t="s">
        <v>53</v>
      </c>
      <c r="H4" s="380" t="s">
        <v>54</v>
      </c>
      <c r="I4" s="380" t="s">
        <v>54</v>
      </c>
      <c r="J4" s="380" t="s">
        <v>54</v>
      </c>
      <c r="K4" s="380" t="s">
        <v>54</v>
      </c>
      <c r="L4" s="380" t="s">
        <v>54</v>
      </c>
      <c r="M4" s="380" t="s">
        <v>54</v>
      </c>
      <c r="N4" s="381" t="s">
        <v>54</v>
      </c>
    </row>
    <row r="5" spans="2:14" ht="15.75" customHeight="1" x14ac:dyDescent="0.25">
      <c r="B5" s="377"/>
      <c r="C5" s="378"/>
      <c r="D5" s="379" t="str">
        <f>"FY"&amp;RIGHT(Admin2!K2,2)</f>
        <v>FY13</v>
      </c>
      <c r="E5" s="380" t="str">
        <f>"FY"&amp;RIGHT(Admin2!L2,2)</f>
        <v>FY14</v>
      </c>
      <c r="F5" s="380" t="str">
        <f>"FY"&amp;RIGHT(Admin2!M2,2)</f>
        <v>FY15</v>
      </c>
      <c r="G5" s="380" t="str">
        <f>"FY"&amp;RIGHT(Admin2!N2,2)</f>
        <v>FY16</v>
      </c>
      <c r="H5" s="380" t="str">
        <f>"FY"&amp;RIGHT(Admin2!O2,2)</f>
        <v>FY17</v>
      </c>
      <c r="I5" s="380" t="str">
        <f>"FY"&amp;RIGHT(Admin2!P2,2)</f>
        <v>FY18</v>
      </c>
      <c r="J5" s="380" t="str">
        <f>"FY"&amp;RIGHT(Admin2!Q2,2)</f>
        <v>FY19</v>
      </c>
      <c r="K5" s="380" t="str">
        <f>"FY"&amp;RIGHT(Admin2!R2,2)</f>
        <v>FY20</v>
      </c>
      <c r="L5" s="380" t="str">
        <f>"FY"&amp;RIGHT(Admin2!S2,2)</f>
        <v>FY21</v>
      </c>
      <c r="M5" s="380" t="str">
        <f>"FY"&amp;RIGHT(Admin2!T2,2)</f>
        <v>FY22</v>
      </c>
      <c r="N5" s="381" t="str">
        <f>"FY"&amp;RIGHT(Admin2!U2,2)</f>
        <v>FY23</v>
      </c>
    </row>
    <row r="6" spans="2:14" ht="15.75" customHeight="1" x14ac:dyDescent="0.25">
      <c r="B6" s="382" t="s">
        <v>62</v>
      </c>
      <c r="C6" s="383"/>
      <c r="D6" s="283">
        <f>Admin2!C137</f>
        <v>3554676</v>
      </c>
      <c r="E6" s="283">
        <f>Admin2!D137</f>
        <v>3670772</v>
      </c>
      <c r="F6" s="283">
        <f>Admin2!E137</f>
        <v>3690108</v>
      </c>
      <c r="G6" s="283">
        <f>Admin2!F137</f>
        <v>3558262</v>
      </c>
      <c r="H6" s="283">
        <f>Admin2!G137</f>
        <v>3520358</v>
      </c>
      <c r="I6" s="283">
        <f>Admin2!H137</f>
        <v>3476201</v>
      </c>
      <c r="J6" s="283">
        <f>Admin2!I137</f>
        <v>3438096</v>
      </c>
      <c r="K6" s="283">
        <f>Admin2!J137</f>
        <v>3369047</v>
      </c>
      <c r="L6" s="283">
        <f>Admin2!K137</f>
        <v>3298463</v>
      </c>
      <c r="M6" s="283">
        <f>Admin2!L137</f>
        <v>3261300</v>
      </c>
      <c r="N6" s="283">
        <f>Admin2!M137</f>
        <v>3258102</v>
      </c>
    </row>
    <row r="7" spans="2:14" ht="15.75" customHeight="1" x14ac:dyDescent="0.25">
      <c r="B7" s="382" t="s">
        <v>63</v>
      </c>
      <c r="C7" s="384" t="s">
        <v>64</v>
      </c>
      <c r="D7" s="283">
        <f>Admin2!C138</f>
        <v>43805</v>
      </c>
      <c r="E7" s="283">
        <f>Admin2!D138</f>
        <v>0</v>
      </c>
      <c r="F7" s="283">
        <f>Admin2!E138</f>
        <v>17372</v>
      </c>
      <c r="G7" s="283">
        <f>Admin2!F138</f>
        <v>168747</v>
      </c>
      <c r="H7" s="283">
        <f>Admin2!G138</f>
        <v>73487</v>
      </c>
      <c r="I7" s="283">
        <f>Admin2!H138</f>
        <v>79361</v>
      </c>
      <c r="J7" s="283">
        <f>Admin2!I138</f>
        <v>72867</v>
      </c>
      <c r="K7" s="283">
        <f>Admin2!J138</f>
        <v>103430</v>
      </c>
      <c r="L7" s="283">
        <f>Admin2!K138</f>
        <v>104274</v>
      </c>
      <c r="M7" s="283">
        <f>Admin2!L138</f>
        <v>70148</v>
      </c>
      <c r="N7" s="283">
        <f>Admin2!M138</f>
        <v>35811</v>
      </c>
    </row>
    <row r="8" spans="2:14" ht="15.75" customHeight="1" x14ac:dyDescent="0.25">
      <c r="B8" s="382" t="s">
        <v>65</v>
      </c>
      <c r="C8" s="384" t="s">
        <v>64</v>
      </c>
      <c r="D8" s="283">
        <f>Admin2!C139</f>
        <v>143898</v>
      </c>
      <c r="E8" s="283">
        <f>Admin2!D139</f>
        <v>176214</v>
      </c>
      <c r="F8" s="283">
        <f>Admin2!E139</f>
        <v>106362</v>
      </c>
      <c r="G8" s="283">
        <f>Admin2!F139</f>
        <v>113233</v>
      </c>
      <c r="H8" s="283">
        <f>Admin2!G139</f>
        <v>115595</v>
      </c>
      <c r="I8" s="283">
        <f>Admin2!H139</f>
        <v>201002</v>
      </c>
      <c r="J8" s="283">
        <f>Admin2!I139</f>
        <v>203003</v>
      </c>
      <c r="K8" s="283">
        <f>Admin2!J139</f>
        <v>205005</v>
      </c>
      <c r="L8" s="283">
        <f>Admin2!K139</f>
        <v>207036</v>
      </c>
      <c r="M8" s="283">
        <f>Admin2!L139</f>
        <v>209097</v>
      </c>
      <c r="N8" s="283">
        <f>Admin2!M139</f>
        <v>211158</v>
      </c>
    </row>
    <row r="9" spans="2:14" ht="15.75" customHeight="1" x14ac:dyDescent="0.25">
      <c r="B9" s="382" t="s">
        <v>66</v>
      </c>
      <c r="C9" s="384" t="s">
        <v>64</v>
      </c>
      <c r="D9" s="283">
        <f>Admin2!C140</f>
        <v>518097</v>
      </c>
      <c r="E9" s="283">
        <f>Admin2!D140</f>
        <v>515912</v>
      </c>
      <c r="F9" s="283">
        <f>Admin2!E140</f>
        <v>467534</v>
      </c>
      <c r="G9" s="283">
        <f>Admin2!F140</f>
        <v>408370</v>
      </c>
      <c r="H9" s="283">
        <f>Admin2!G140</f>
        <v>420925</v>
      </c>
      <c r="I9" s="283">
        <f>Admin2!H140</f>
        <v>543703</v>
      </c>
      <c r="J9" s="283">
        <f>Admin2!I140</f>
        <v>549117</v>
      </c>
      <c r="K9" s="283">
        <f>Admin2!J140</f>
        <v>554530</v>
      </c>
      <c r="L9" s="283">
        <f>Admin2!K140</f>
        <v>560025</v>
      </c>
      <c r="M9" s="283">
        <f>Admin2!L140</f>
        <v>565600</v>
      </c>
      <c r="N9" s="283">
        <f>Admin2!M140</f>
        <v>571175</v>
      </c>
    </row>
    <row r="10" spans="2:14" ht="15.75" customHeight="1" x14ac:dyDescent="0.25">
      <c r="B10" s="382" t="s">
        <v>67</v>
      </c>
      <c r="C10" s="384" t="s">
        <v>64</v>
      </c>
      <c r="D10" s="283">
        <f>Admin2!C141</f>
        <v>296984</v>
      </c>
      <c r="E10" s="283">
        <f>Admin2!D141</f>
        <v>306361</v>
      </c>
      <c r="F10" s="283">
        <f>Admin2!E141</f>
        <v>308349</v>
      </c>
      <c r="G10" s="283">
        <f>Admin2!F141</f>
        <v>308349</v>
      </c>
      <c r="H10" s="283">
        <f>Admin2!G141</f>
        <v>297427</v>
      </c>
      <c r="I10" s="283">
        <f>Admin2!H141</f>
        <v>294460</v>
      </c>
      <c r="J10" s="283">
        <f>Admin2!I141</f>
        <v>290866</v>
      </c>
      <c r="K10" s="283">
        <f>Admin2!J141</f>
        <v>287746</v>
      </c>
      <c r="L10" s="283">
        <f>Admin2!K141</f>
        <v>282061</v>
      </c>
      <c r="M10" s="283">
        <f>Admin2!L141</f>
        <v>276231</v>
      </c>
      <c r="N10" s="283">
        <f>Admin2!M141</f>
        <v>273185</v>
      </c>
    </row>
    <row r="11" spans="2:14" ht="15.75" customHeight="1" x14ac:dyDescent="0.25">
      <c r="B11" s="382" t="s">
        <v>68</v>
      </c>
      <c r="C11" s="384" t="s">
        <v>64</v>
      </c>
      <c r="D11" s="283">
        <f>Admin2!C142</f>
        <v>30507</v>
      </c>
      <c r="E11" s="283">
        <f>Admin2!D142</f>
        <v>31587</v>
      </c>
      <c r="F11" s="283">
        <f>Admin2!E142</f>
        <v>31915</v>
      </c>
      <c r="G11" s="283">
        <f>Admin2!F142</f>
        <v>31915</v>
      </c>
      <c r="H11" s="283">
        <f>Admin2!G142</f>
        <v>30823</v>
      </c>
      <c r="I11" s="283">
        <f>Admin2!H142</f>
        <v>30581</v>
      </c>
      <c r="J11" s="283">
        <f>Admin2!I142</f>
        <v>30237</v>
      </c>
      <c r="K11" s="283">
        <f>Admin2!J142</f>
        <v>29939</v>
      </c>
      <c r="L11" s="283">
        <f>Admin2!K142</f>
        <v>29375</v>
      </c>
      <c r="M11" s="283">
        <f>Admin2!L142</f>
        <v>28792</v>
      </c>
      <c r="N11" s="283">
        <f>Admin2!M142</f>
        <v>28507</v>
      </c>
    </row>
    <row r="12" spans="2:14" ht="15.75" customHeight="1" x14ac:dyDescent="0.25">
      <c r="B12" s="382" t="s">
        <v>69</v>
      </c>
      <c r="C12" s="384" t="s">
        <v>64</v>
      </c>
      <c r="D12" s="283">
        <f>Admin2!C143</f>
        <v>30472</v>
      </c>
      <c r="E12" s="283">
        <f>Admin2!D143</f>
        <v>31616</v>
      </c>
      <c r="F12" s="283">
        <f>Admin2!E143</f>
        <v>32064</v>
      </c>
      <c r="G12" s="283">
        <f>Admin2!F143</f>
        <v>32064</v>
      </c>
      <c r="H12" s="283">
        <f>Admin2!G143</f>
        <v>31003</v>
      </c>
      <c r="I12" s="283">
        <f>Admin2!H143</f>
        <v>30819</v>
      </c>
      <c r="J12" s="283">
        <f>Admin2!I143</f>
        <v>30505</v>
      </c>
      <c r="K12" s="283">
        <f>Admin2!J143</f>
        <v>30233</v>
      </c>
      <c r="L12" s="283">
        <f>Admin2!K143</f>
        <v>29690</v>
      </c>
      <c r="M12" s="283">
        <f>Admin2!L143</f>
        <v>29125</v>
      </c>
      <c r="N12" s="283">
        <f>Admin2!M143</f>
        <v>28885</v>
      </c>
    </row>
    <row r="13" spans="2:14" ht="15.75" customHeight="1" x14ac:dyDescent="0.25">
      <c r="B13" s="382" t="s">
        <v>165</v>
      </c>
      <c r="C13" s="384"/>
      <c r="D13" s="283">
        <f>Admin2!C144</f>
        <v>0</v>
      </c>
      <c r="E13" s="283">
        <f>Admin2!D144</f>
        <v>0</v>
      </c>
      <c r="F13" s="283">
        <f>Admin2!E144</f>
        <v>0</v>
      </c>
      <c r="G13" s="283">
        <f>Admin2!F144</f>
        <v>0</v>
      </c>
      <c r="H13" s="283">
        <f>Admin2!G144</f>
        <v>0</v>
      </c>
      <c r="I13" s="283">
        <f>Admin2!H144</f>
        <v>169100</v>
      </c>
      <c r="J13" s="283">
        <f>Admin2!I144</f>
        <v>167001</v>
      </c>
      <c r="K13" s="283">
        <f>Admin2!J144</f>
        <v>165176</v>
      </c>
      <c r="L13" s="283">
        <f>Admin2!K144</f>
        <v>161884</v>
      </c>
      <c r="M13" s="283">
        <f>Admin2!L144</f>
        <v>158508</v>
      </c>
      <c r="N13" s="283">
        <f>Admin2!M144</f>
        <v>156729</v>
      </c>
    </row>
    <row r="14" spans="2:14" ht="15.75" customHeight="1" x14ac:dyDescent="0.25">
      <c r="B14" s="382" t="s">
        <v>70</v>
      </c>
      <c r="C14" s="384" t="s">
        <v>64</v>
      </c>
      <c r="D14" s="283">
        <f>Admin2!C145</f>
        <v>177158</v>
      </c>
      <c r="E14" s="283">
        <f>Admin2!D145</f>
        <v>182147</v>
      </c>
      <c r="F14" s="283">
        <f>Admin2!E145</f>
        <v>180942</v>
      </c>
      <c r="G14" s="283">
        <f>Admin2!F145</f>
        <v>172635</v>
      </c>
      <c r="H14" s="283">
        <f>Admin2!G145</f>
        <v>171567</v>
      </c>
      <c r="I14" s="283">
        <f>Admin2!H145</f>
        <v>175008</v>
      </c>
      <c r="J14" s="283">
        <f>Admin2!I145</f>
        <v>173593</v>
      </c>
      <c r="K14" s="283">
        <f>Admin2!J145</f>
        <v>170847</v>
      </c>
      <c r="L14" s="283">
        <f>Admin2!K145</f>
        <v>168023</v>
      </c>
      <c r="M14" s="283">
        <f>Admin2!L145</f>
        <v>166651</v>
      </c>
      <c r="N14" s="283">
        <f>Admin2!M145</f>
        <v>166773</v>
      </c>
    </row>
    <row r="15" spans="2:14" ht="15.75" customHeight="1" x14ac:dyDescent="0.25">
      <c r="B15" s="382" t="s">
        <v>71</v>
      </c>
      <c r="C15" s="384" t="s">
        <v>64</v>
      </c>
      <c r="D15" s="283">
        <f>Admin2!C146</f>
        <v>4398</v>
      </c>
      <c r="E15" s="283">
        <f>Admin2!D146</f>
        <v>0</v>
      </c>
      <c r="F15" s="283">
        <f>Admin2!E146</f>
        <v>1205</v>
      </c>
      <c r="G15" s="283">
        <f>Admin2!F146</f>
        <v>9512</v>
      </c>
      <c r="H15" s="283">
        <f>Admin2!G146</f>
        <v>10580</v>
      </c>
      <c r="I15" s="283">
        <f>Admin2!H146</f>
        <v>7139</v>
      </c>
      <c r="J15" s="283">
        <f>Admin2!I146</f>
        <v>8554</v>
      </c>
      <c r="K15" s="283">
        <f>Admin2!J146</f>
        <v>11300</v>
      </c>
      <c r="L15" s="283">
        <f>Admin2!K146</f>
        <v>14124</v>
      </c>
      <c r="M15" s="283">
        <f>Admin2!L146</f>
        <v>15496</v>
      </c>
      <c r="N15" s="283">
        <f>Admin2!M146</f>
        <v>15374</v>
      </c>
    </row>
    <row r="16" spans="2:14" ht="15.75" customHeight="1" x14ac:dyDescent="0.25">
      <c r="B16" s="382" t="s">
        <v>72</v>
      </c>
      <c r="C16" s="384" t="s">
        <v>64</v>
      </c>
      <c r="D16" s="283">
        <f>Admin2!C147</f>
        <v>28778</v>
      </c>
      <c r="E16" s="283">
        <f>Admin2!D147</f>
        <v>29703</v>
      </c>
      <c r="F16" s="283">
        <f>Admin2!E147</f>
        <v>29900</v>
      </c>
      <c r="G16" s="283">
        <f>Admin2!F147</f>
        <v>28849</v>
      </c>
      <c r="H16" s="283">
        <f>Admin2!G147</f>
        <v>28529</v>
      </c>
      <c r="I16" s="283">
        <f>Admin2!H147</f>
        <v>28192</v>
      </c>
      <c r="J16" s="283">
        <f>Admin2!I147</f>
        <v>27870</v>
      </c>
      <c r="K16" s="283">
        <f>Admin2!J147</f>
        <v>27314</v>
      </c>
      <c r="L16" s="283">
        <f>Admin2!K147</f>
        <v>26746</v>
      </c>
      <c r="M16" s="283">
        <f>Admin2!L147</f>
        <v>26446</v>
      </c>
      <c r="N16" s="283">
        <f>Admin2!M147</f>
        <v>26425</v>
      </c>
    </row>
    <row r="17" spans="2:14" ht="15.75" customHeight="1" x14ac:dyDescent="0.25">
      <c r="B17" s="382" t="s">
        <v>73</v>
      </c>
      <c r="C17" s="384" t="s">
        <v>64</v>
      </c>
      <c r="D17" s="283">
        <f>Admin2!C148</f>
        <v>31832</v>
      </c>
      <c r="E17" s="283">
        <f>Admin2!D148</f>
        <v>32852</v>
      </c>
      <c r="F17" s="283">
        <f>Admin2!E148</f>
        <v>33068</v>
      </c>
      <c r="G17" s="283">
        <f>Admin2!F148</f>
        <v>31907</v>
      </c>
      <c r="H17" s="283">
        <f>Admin2!G148</f>
        <v>31550</v>
      </c>
      <c r="I17" s="283">
        <f>Admin2!H148</f>
        <v>31175</v>
      </c>
      <c r="J17" s="283">
        <f>Admin2!I148</f>
        <v>30815</v>
      </c>
      <c r="K17" s="283">
        <f>Admin2!J148</f>
        <v>30201</v>
      </c>
      <c r="L17" s="283">
        <f>Admin2!K148</f>
        <v>29569</v>
      </c>
      <c r="M17" s="283">
        <f>Admin2!L148</f>
        <v>29237</v>
      </c>
      <c r="N17" s="283">
        <f>Admin2!M148</f>
        <v>29214</v>
      </c>
    </row>
    <row r="18" spans="2:14" ht="15.75" customHeight="1" x14ac:dyDescent="0.25">
      <c r="B18" s="382" t="s">
        <v>74</v>
      </c>
      <c r="C18" s="384" t="s">
        <v>64</v>
      </c>
      <c r="D18" s="283">
        <f>Admin2!C149</f>
        <v>0</v>
      </c>
      <c r="E18" s="283">
        <f>Admin2!D149</f>
        <v>0</v>
      </c>
      <c r="F18" s="283">
        <f>Admin2!E149</f>
        <v>0</v>
      </c>
      <c r="G18" s="283">
        <f>Admin2!F149</f>
        <v>0</v>
      </c>
      <c r="H18" s="283">
        <f>Admin2!G149</f>
        <v>0</v>
      </c>
      <c r="I18" s="283">
        <f>Admin2!H149</f>
        <v>0</v>
      </c>
      <c r="J18" s="283">
        <f>Admin2!I149</f>
        <v>0</v>
      </c>
      <c r="K18" s="283">
        <f>Admin2!J149</f>
        <v>0</v>
      </c>
      <c r="L18" s="283">
        <f>Admin2!K149</f>
        <v>0</v>
      </c>
      <c r="M18" s="283">
        <f>Admin2!L149</f>
        <v>0</v>
      </c>
      <c r="N18" s="283">
        <f>Admin2!M149</f>
        <v>0</v>
      </c>
    </row>
    <row r="19" spans="2:14" ht="15.75" customHeight="1" x14ac:dyDescent="0.25">
      <c r="B19" s="382" t="s">
        <v>75</v>
      </c>
      <c r="C19" s="384" t="s">
        <v>64</v>
      </c>
      <c r="D19" s="283">
        <f>Admin2!C150</f>
        <v>18248</v>
      </c>
      <c r="E19" s="283">
        <f>Admin2!D150</f>
        <v>18707</v>
      </c>
      <c r="F19" s="283">
        <f>Admin2!E150</f>
        <v>18707</v>
      </c>
      <c r="G19" s="283">
        <f>Admin2!F150</f>
        <v>18580</v>
      </c>
      <c r="H19" s="283">
        <f>Admin2!G150</f>
        <v>17728</v>
      </c>
      <c r="I19" s="283">
        <f>Admin2!H150</f>
        <v>17970</v>
      </c>
      <c r="J19" s="283">
        <f>Admin2!I150</f>
        <v>17970</v>
      </c>
      <c r="K19" s="283">
        <f>Admin2!J150</f>
        <v>17824</v>
      </c>
      <c r="L19" s="283">
        <f>Admin2!K150</f>
        <v>17540</v>
      </c>
      <c r="M19" s="283">
        <f>Admin2!L150</f>
        <v>17252</v>
      </c>
      <c r="N19" s="283">
        <f>Admin2!M150</f>
        <v>17123</v>
      </c>
    </row>
    <row r="20" spans="2:14" ht="15.75" customHeight="1" x14ac:dyDescent="0.25">
      <c r="B20" s="382" t="s">
        <v>76</v>
      </c>
      <c r="C20" s="384" t="s">
        <v>64</v>
      </c>
      <c r="D20" s="283">
        <f>Admin2!C151</f>
        <v>1923</v>
      </c>
      <c r="E20" s="283">
        <f>Admin2!D151</f>
        <v>1976</v>
      </c>
      <c r="F20" s="283">
        <f>Admin2!E151</f>
        <v>1976</v>
      </c>
      <c r="G20" s="283">
        <f>Admin2!F151</f>
        <v>1972</v>
      </c>
      <c r="H20" s="283">
        <f>Admin2!G151</f>
        <v>1882</v>
      </c>
      <c r="I20" s="283">
        <f>Admin2!H151</f>
        <v>1918</v>
      </c>
      <c r="J20" s="283">
        <f>Admin2!I151</f>
        <v>1918</v>
      </c>
      <c r="K20" s="283">
        <f>Admin2!J151</f>
        <v>1907</v>
      </c>
      <c r="L20" s="283">
        <f>Admin2!K151</f>
        <v>1881</v>
      </c>
      <c r="M20" s="283">
        <f>Admin2!L151</f>
        <v>1854</v>
      </c>
      <c r="N20" s="283">
        <f>Admin2!M151</f>
        <v>1847</v>
      </c>
    </row>
    <row r="21" spans="2:14" ht="15.75" customHeight="1" x14ac:dyDescent="0.25">
      <c r="B21" s="382" t="s">
        <v>77</v>
      </c>
      <c r="C21" s="384" t="s">
        <v>64</v>
      </c>
      <c r="D21" s="283">
        <f>Admin2!C152</f>
        <v>9880</v>
      </c>
      <c r="E21" s="283">
        <f>Admin2!D152</f>
        <v>119804</v>
      </c>
      <c r="F21" s="283">
        <f>Admin2!E152</f>
        <v>99117</v>
      </c>
      <c r="G21" s="283">
        <f>Admin2!F152</f>
        <v>111079</v>
      </c>
      <c r="H21" s="283">
        <f>Admin2!G152</f>
        <v>151840</v>
      </c>
      <c r="I21" s="283">
        <f>Admin2!H152</f>
        <v>110981</v>
      </c>
      <c r="J21" s="283">
        <f>Admin2!I152</f>
        <v>155000</v>
      </c>
      <c r="K21" s="283">
        <f>Admin2!J152</f>
        <v>160000</v>
      </c>
      <c r="L21" s="283">
        <f>Admin2!K152</f>
        <v>165000</v>
      </c>
      <c r="M21" s="283">
        <f>Admin2!L152</f>
        <v>165000</v>
      </c>
      <c r="N21" s="283">
        <f>Admin2!M152</f>
        <v>165000</v>
      </c>
    </row>
    <row r="22" spans="2:14" ht="15.75" customHeight="1" x14ac:dyDescent="0.25">
      <c r="B22" s="382" t="s">
        <v>164</v>
      </c>
      <c r="C22" s="384" t="s">
        <v>64</v>
      </c>
      <c r="D22" s="283">
        <f>Admin2!C153</f>
        <v>0</v>
      </c>
      <c r="E22" s="283">
        <f>Admin2!D153</f>
        <v>0</v>
      </c>
      <c r="F22" s="283">
        <f>Admin2!E153</f>
        <v>0</v>
      </c>
      <c r="G22" s="283">
        <f>Admin2!F153</f>
        <v>0</v>
      </c>
      <c r="H22" s="283">
        <f>Admin2!G153</f>
        <v>0</v>
      </c>
      <c r="I22" s="283">
        <f>Admin2!H153</f>
        <v>0</v>
      </c>
      <c r="J22" s="283">
        <f>Admin2!I153</f>
        <v>0</v>
      </c>
      <c r="K22" s="283">
        <f>Admin2!J153</f>
        <v>0</v>
      </c>
      <c r="L22" s="283">
        <f>Admin2!K153</f>
        <v>0</v>
      </c>
      <c r="M22" s="283">
        <f>Admin2!L153</f>
        <v>0</v>
      </c>
      <c r="N22" s="283">
        <f>Admin2!M153</f>
        <v>0</v>
      </c>
    </row>
    <row r="23" spans="2:14" ht="15.75" customHeight="1" x14ac:dyDescent="0.25">
      <c r="B23" s="382" t="s">
        <v>78</v>
      </c>
      <c r="C23" s="384" t="s">
        <v>64</v>
      </c>
      <c r="D23" s="283">
        <f>Admin2!C154</f>
        <v>75480</v>
      </c>
      <c r="E23" s="283">
        <f>Admin2!D154</f>
        <v>76213</v>
      </c>
      <c r="F23" s="283">
        <f>Admin2!E154</f>
        <v>77125</v>
      </c>
      <c r="G23" s="283">
        <f>Admin2!F154</f>
        <v>50928</v>
      </c>
      <c r="H23" s="283">
        <f>Admin2!G154</f>
        <v>92178</v>
      </c>
      <c r="I23" s="283">
        <f>Admin2!H154</f>
        <v>63273</v>
      </c>
      <c r="J23" s="283">
        <f>Admin2!I154</f>
        <v>33636.131999999998</v>
      </c>
      <c r="K23" s="283">
        <f>Admin2!J154</f>
        <v>34308.854639999998</v>
      </c>
      <c r="L23" s="283">
        <f>Admin2!K154</f>
        <v>34308.854639999998</v>
      </c>
      <c r="M23" s="283">
        <f>Admin2!L154</f>
        <v>34308.854639999998</v>
      </c>
      <c r="N23" s="283">
        <f>Admin2!M154</f>
        <v>34308.854639999998</v>
      </c>
    </row>
    <row r="24" spans="2:14" ht="15.75" customHeight="1" x14ac:dyDescent="0.25">
      <c r="B24" s="382" t="s">
        <v>79</v>
      </c>
      <c r="C24" s="384" t="s">
        <v>64</v>
      </c>
      <c r="D24" s="283">
        <f>Admin2!C155</f>
        <v>121280</v>
      </c>
      <c r="E24" s="283">
        <f>Admin2!D155</f>
        <v>339462</v>
      </c>
      <c r="F24" s="283">
        <f>Admin2!E155</f>
        <v>174339</v>
      </c>
      <c r="G24" s="283">
        <f>Admin2!F155</f>
        <v>308651</v>
      </c>
      <c r="H24" s="283">
        <f>Admin2!G155</f>
        <v>401257</v>
      </c>
      <c r="I24" s="283">
        <f>Admin2!H155</f>
        <v>325000</v>
      </c>
      <c r="J24" s="283">
        <f>Admin2!I155</f>
        <v>325000</v>
      </c>
      <c r="K24" s="283">
        <f>Admin2!J155</f>
        <v>325000</v>
      </c>
      <c r="L24" s="283">
        <f>Admin2!K155</f>
        <v>325000</v>
      </c>
      <c r="M24" s="283">
        <f>Admin2!L155</f>
        <v>325000</v>
      </c>
      <c r="N24" s="283">
        <f>Admin2!M155</f>
        <v>325000</v>
      </c>
    </row>
    <row r="25" spans="2:14" ht="15.75" customHeight="1" x14ac:dyDescent="0.25">
      <c r="B25" s="382" t="s">
        <v>80</v>
      </c>
      <c r="C25" s="384" t="s">
        <v>81</v>
      </c>
      <c r="D25" s="283">
        <f>Admin2!C156</f>
        <v>0</v>
      </c>
      <c r="E25" s="283">
        <f>Admin2!D156</f>
        <v>0</v>
      </c>
      <c r="F25" s="283">
        <f>Admin2!E156</f>
        <v>0</v>
      </c>
      <c r="G25" s="283">
        <f>Admin2!F156</f>
        <v>0</v>
      </c>
      <c r="H25" s="283">
        <f>Admin2!G156</f>
        <v>0</v>
      </c>
      <c r="I25" s="283">
        <f>Admin2!H156</f>
        <v>0</v>
      </c>
      <c r="J25" s="283">
        <f>Admin2!I156</f>
        <v>0</v>
      </c>
      <c r="K25" s="283">
        <f>Admin2!J156</f>
        <v>0</v>
      </c>
      <c r="L25" s="283">
        <f>Admin2!K156</f>
        <v>0</v>
      </c>
      <c r="M25" s="283">
        <f>Admin2!L156</f>
        <v>0</v>
      </c>
      <c r="N25" s="283">
        <f>Admin2!M156</f>
        <v>0</v>
      </c>
    </row>
    <row r="26" spans="2:14" ht="15.75" customHeight="1" x14ac:dyDescent="0.25">
      <c r="B26" s="382" t="s">
        <v>82</v>
      </c>
      <c r="C26" s="384" t="s">
        <v>81</v>
      </c>
      <c r="D26" s="283">
        <f>Admin2!C157</f>
        <v>0</v>
      </c>
      <c r="E26" s="283">
        <f>Admin2!D157</f>
        <v>0</v>
      </c>
      <c r="F26" s="283">
        <f>Admin2!E157</f>
        <v>0</v>
      </c>
      <c r="G26" s="283">
        <f>Admin2!F157</f>
        <v>0</v>
      </c>
      <c r="H26" s="283">
        <f>Admin2!G157</f>
        <v>0</v>
      </c>
      <c r="I26" s="283">
        <f>Admin2!H157</f>
        <v>0</v>
      </c>
      <c r="J26" s="283">
        <f>Admin2!I157</f>
        <v>0</v>
      </c>
      <c r="K26" s="283">
        <f>Admin2!J157</f>
        <v>0</v>
      </c>
      <c r="L26" s="283">
        <f>Admin2!K157</f>
        <v>0</v>
      </c>
      <c r="M26" s="283">
        <f>Admin2!L157</f>
        <v>0</v>
      </c>
      <c r="N26" s="283">
        <f>Admin2!M157</f>
        <v>0</v>
      </c>
    </row>
    <row r="27" spans="2:14" ht="15.75" customHeight="1" x14ac:dyDescent="0.25">
      <c r="B27" s="382" t="s">
        <v>83</v>
      </c>
      <c r="C27" s="384" t="s">
        <v>64</v>
      </c>
      <c r="D27" s="283">
        <f>Admin2!C158</f>
        <v>0</v>
      </c>
      <c r="E27" s="283">
        <f>Admin2!D158</f>
        <v>0</v>
      </c>
      <c r="F27" s="283">
        <f>Admin2!E158</f>
        <v>0</v>
      </c>
      <c r="G27" s="283">
        <f>Admin2!F158</f>
        <v>0</v>
      </c>
      <c r="H27" s="283">
        <f>Admin2!G158</f>
        <v>0</v>
      </c>
      <c r="I27" s="283">
        <f>Admin2!H158</f>
        <v>0</v>
      </c>
      <c r="J27" s="283">
        <f>Admin2!I158</f>
        <v>0</v>
      </c>
      <c r="K27" s="283">
        <f>Admin2!J158</f>
        <v>0</v>
      </c>
      <c r="L27" s="283">
        <f>Admin2!K158</f>
        <v>0</v>
      </c>
      <c r="M27" s="283">
        <f>Admin2!L158</f>
        <v>0</v>
      </c>
      <c r="N27" s="283">
        <f>Admin2!M158</f>
        <v>0</v>
      </c>
    </row>
    <row r="28" spans="2:14" ht="15.75" customHeight="1" x14ac:dyDescent="0.25">
      <c r="B28" s="382" t="s">
        <v>84</v>
      </c>
      <c r="C28" s="384" t="s">
        <v>81</v>
      </c>
      <c r="D28" s="283">
        <f>Admin2!C159</f>
        <v>0</v>
      </c>
      <c r="E28" s="283">
        <f>Admin2!D159</f>
        <v>0</v>
      </c>
      <c r="F28" s="283">
        <f>Admin2!E159</f>
        <v>0</v>
      </c>
      <c r="G28" s="283">
        <f>Admin2!F159</f>
        <v>0</v>
      </c>
      <c r="H28" s="283">
        <f>Admin2!G159</f>
        <v>0</v>
      </c>
      <c r="I28" s="283">
        <f>Admin2!H159</f>
        <v>0</v>
      </c>
      <c r="J28" s="283">
        <f>Admin2!I159</f>
        <v>0</v>
      </c>
      <c r="K28" s="283">
        <f>Admin2!J159</f>
        <v>0</v>
      </c>
      <c r="L28" s="283">
        <f>Admin2!K159</f>
        <v>0</v>
      </c>
      <c r="M28" s="283">
        <f>Admin2!L159</f>
        <v>0</v>
      </c>
      <c r="N28" s="283">
        <f>Admin2!M159</f>
        <v>0</v>
      </c>
    </row>
    <row r="29" spans="2:14" ht="15.75" customHeight="1" x14ac:dyDescent="0.25">
      <c r="B29" s="382" t="s">
        <v>85</v>
      </c>
      <c r="C29" s="384" t="s">
        <v>64</v>
      </c>
      <c r="D29" s="283">
        <f>Admin2!C160</f>
        <v>0</v>
      </c>
      <c r="E29" s="283">
        <f>Admin2!D160</f>
        <v>0</v>
      </c>
      <c r="F29" s="283">
        <f>Admin2!E160</f>
        <v>-5815</v>
      </c>
      <c r="G29" s="283">
        <f>Admin2!F160</f>
        <v>5917</v>
      </c>
      <c r="H29" s="283">
        <f>Admin2!G160</f>
        <v>0</v>
      </c>
      <c r="I29" s="283">
        <f>Admin2!H160</f>
        <v>0</v>
      </c>
      <c r="J29" s="283">
        <f>Admin2!I160</f>
        <v>0</v>
      </c>
      <c r="K29" s="283">
        <f>Admin2!J160</f>
        <v>0</v>
      </c>
      <c r="L29" s="283">
        <f>Admin2!K160</f>
        <v>0</v>
      </c>
      <c r="M29" s="283">
        <f>Admin2!L160</f>
        <v>0</v>
      </c>
      <c r="N29" s="283">
        <f>Admin2!M160</f>
        <v>0</v>
      </c>
    </row>
    <row r="30" spans="2:14" ht="15.75" customHeight="1" x14ac:dyDescent="0.25">
      <c r="B30" s="382" t="s">
        <v>86</v>
      </c>
      <c r="C30" s="384" t="s">
        <v>81</v>
      </c>
      <c r="D30" s="283">
        <f>Admin2!C161</f>
        <v>37975</v>
      </c>
      <c r="E30" s="283">
        <f>Admin2!D161</f>
        <v>31091</v>
      </c>
      <c r="F30" s="283">
        <f>Admin2!E161</f>
        <v>31091</v>
      </c>
      <c r="G30" s="283">
        <f>Admin2!F161</f>
        <v>31091</v>
      </c>
      <c r="H30" s="283">
        <f>Admin2!G161</f>
        <v>36254</v>
      </c>
      <c r="I30" s="283">
        <f>Admin2!H161</f>
        <v>31091</v>
      </c>
      <c r="J30" s="283">
        <f>Admin2!I161</f>
        <v>10440</v>
      </c>
      <c r="K30" s="283">
        <f>Admin2!J161</f>
        <v>10440</v>
      </c>
      <c r="L30" s="283">
        <f>Admin2!K161</f>
        <v>10440</v>
      </c>
      <c r="M30" s="283">
        <f>Admin2!L161</f>
        <v>10440</v>
      </c>
      <c r="N30" s="283">
        <f>Admin2!M161</f>
        <v>10440</v>
      </c>
    </row>
    <row r="31" spans="2:14" ht="30" customHeight="1" x14ac:dyDescent="0.25">
      <c r="B31" s="385" t="s">
        <v>87</v>
      </c>
      <c r="C31" s="386" t="s">
        <v>88</v>
      </c>
      <c r="D31" s="375">
        <f t="shared" ref="D31:N31" si="0">SUM(D6:D24)-D25-D26+D27-D28+D29-D30</f>
        <v>5049441</v>
      </c>
      <c r="E31" s="375">
        <f t="shared" si="0"/>
        <v>5502235</v>
      </c>
      <c r="F31" s="375">
        <f t="shared" si="0"/>
        <v>5233177</v>
      </c>
      <c r="G31" s="375">
        <f t="shared" si="0"/>
        <v>5329879</v>
      </c>
      <c r="H31" s="375">
        <f t="shared" si="0"/>
        <v>5360475</v>
      </c>
      <c r="I31" s="375">
        <f t="shared" si="0"/>
        <v>5554792</v>
      </c>
      <c r="J31" s="375">
        <f t="shared" si="0"/>
        <v>5545608.1320000002</v>
      </c>
      <c r="K31" s="375">
        <f t="shared" si="0"/>
        <v>5513367.8546399996</v>
      </c>
      <c r="L31" s="375">
        <f t="shared" si="0"/>
        <v>5444559.8546399996</v>
      </c>
      <c r="M31" s="375">
        <f t="shared" si="0"/>
        <v>5369605.8546399996</v>
      </c>
      <c r="N31" s="375">
        <f t="shared" si="0"/>
        <v>5334176.8546399996</v>
      </c>
    </row>
    <row r="32" spans="2:14" ht="15.75" customHeight="1" x14ac:dyDescent="0.25">
      <c r="B32" s="382" t="s">
        <v>89</v>
      </c>
      <c r="C32" s="384" t="s">
        <v>64</v>
      </c>
      <c r="D32" s="283">
        <f>Admin2!C163</f>
        <v>87015</v>
      </c>
      <c r="E32" s="283">
        <f>Admin2!D163</f>
        <v>91815</v>
      </c>
      <c r="F32" s="283">
        <f>Admin2!E163</f>
        <v>89124</v>
      </c>
      <c r="G32" s="283">
        <f>Admin2!F163</f>
        <v>103136</v>
      </c>
      <c r="H32" s="283">
        <f>Admin2!G163</f>
        <v>62615</v>
      </c>
      <c r="I32" s="283">
        <f>Admin2!H163</f>
        <v>79968</v>
      </c>
      <c r="J32" s="283">
        <f>Admin2!I163</f>
        <v>80772</v>
      </c>
      <c r="K32" s="283">
        <f>Admin2!J163</f>
        <v>81576</v>
      </c>
      <c r="L32" s="283">
        <f>Admin2!K163</f>
        <v>82392</v>
      </c>
      <c r="M32" s="283">
        <f>Admin2!L163</f>
        <v>83220</v>
      </c>
      <c r="N32" s="283">
        <f>Admin2!M163</f>
        <v>84048</v>
      </c>
    </row>
    <row r="33" spans="2:14" ht="15.75" customHeight="1" x14ac:dyDescent="0.25">
      <c r="B33" s="382" t="s">
        <v>90</v>
      </c>
      <c r="C33" s="384" t="s">
        <v>64</v>
      </c>
      <c r="D33" s="283">
        <f>Admin2!C164</f>
        <v>292520</v>
      </c>
      <c r="E33" s="283">
        <f>Admin2!D164</f>
        <v>296121</v>
      </c>
      <c r="F33" s="283">
        <f>Admin2!E164</f>
        <v>304681</v>
      </c>
      <c r="G33" s="283">
        <f>Admin2!F164</f>
        <v>310907</v>
      </c>
      <c r="H33" s="283">
        <f>Admin2!G164</f>
        <v>301560</v>
      </c>
      <c r="I33" s="283">
        <f>Admin2!H164</f>
        <v>299591</v>
      </c>
      <c r="J33" s="283">
        <f>Admin2!I164</f>
        <v>298537</v>
      </c>
      <c r="K33" s="283">
        <f>Admin2!J164</f>
        <v>298286</v>
      </c>
      <c r="L33" s="283">
        <f>Admin2!K164</f>
        <v>295120</v>
      </c>
      <c r="M33" s="283">
        <f>Admin2!L164</f>
        <v>291102</v>
      </c>
      <c r="N33" s="283">
        <f>Admin2!M164</f>
        <v>289469</v>
      </c>
    </row>
    <row r="34" spans="2:14" ht="15.75" customHeight="1" x14ac:dyDescent="0.25">
      <c r="B34" s="382" t="s">
        <v>1421</v>
      </c>
      <c r="C34" s="384" t="s">
        <v>64</v>
      </c>
      <c r="D34" s="283">
        <f>Admin2!C165</f>
        <v>0</v>
      </c>
      <c r="E34" s="283">
        <f>Admin2!D165</f>
        <v>0</v>
      </c>
      <c r="F34" s="283">
        <f>Admin2!E165</f>
        <v>0</v>
      </c>
      <c r="G34" s="283">
        <f>Admin2!F165</f>
        <v>0</v>
      </c>
      <c r="H34" s="283">
        <f>Admin2!G165</f>
        <v>0</v>
      </c>
      <c r="I34" s="283">
        <f>Admin2!H165</f>
        <v>0</v>
      </c>
      <c r="J34" s="283">
        <f>Admin2!I165</f>
        <v>0</v>
      </c>
      <c r="K34" s="283">
        <f>Admin2!J165</f>
        <v>0</v>
      </c>
      <c r="L34" s="283">
        <f>Admin2!K165</f>
        <v>0</v>
      </c>
      <c r="M34" s="283">
        <f>Admin2!L165</f>
        <v>0</v>
      </c>
      <c r="N34" s="283">
        <f>Admin2!M165</f>
        <v>0</v>
      </c>
    </row>
    <row r="35" spans="2:14" ht="15.75" customHeight="1" x14ac:dyDescent="0.25">
      <c r="B35" s="382" t="s">
        <v>91</v>
      </c>
      <c r="C35" s="384" t="s">
        <v>64</v>
      </c>
      <c r="D35" s="283">
        <f>Admin2!C166</f>
        <v>409440</v>
      </c>
      <c r="E35" s="283">
        <f>Admin2!D166</f>
        <v>521158</v>
      </c>
      <c r="F35" s="283">
        <f>Admin2!E166</f>
        <v>439897</v>
      </c>
      <c r="G35" s="283">
        <f>'MISC REVENUE'!C28</f>
        <v>684859.69999999925</v>
      </c>
      <c r="H35" s="283">
        <f>'MISC REVENUE'!D28</f>
        <v>780013.34000000264</v>
      </c>
      <c r="I35" s="283">
        <f>'MISC REVENUE'!E28</f>
        <v>611551.58000000101</v>
      </c>
      <c r="J35" s="283">
        <f>'MISC REVENUE'!F28</f>
        <v>619384.93999999948</v>
      </c>
      <c r="K35" s="283">
        <f>'MISC REVENUE'!G28</f>
        <v>626961.4000000013</v>
      </c>
      <c r="L35" s="283">
        <f>'MISC REVENUE'!H28</f>
        <v>634636.8599999994</v>
      </c>
      <c r="M35" s="283">
        <f>'MISC REVENUE'!I28</f>
        <v>642410.15999999922</v>
      </c>
      <c r="N35" s="283">
        <f>'MISC REVENUE'!J28</f>
        <v>650282.10999999847</v>
      </c>
    </row>
    <row r="36" spans="2:14" ht="15.75" customHeight="1" x14ac:dyDescent="0.25">
      <c r="B36" s="382" t="s">
        <v>92</v>
      </c>
      <c r="C36" s="384" t="s">
        <v>64</v>
      </c>
      <c r="D36" s="283">
        <f>Admin2!C167</f>
        <v>2135547</v>
      </c>
      <c r="E36" s="283">
        <f>Admin2!D167</f>
        <v>1813457</v>
      </c>
      <c r="F36" s="283">
        <f>Admin2!E167</f>
        <v>1433914</v>
      </c>
      <c r="G36" s="283">
        <f>F39</f>
        <v>1102937</v>
      </c>
      <c r="H36" s="283">
        <f t="shared" ref="H36:M36" si="1">G39</f>
        <v>884270.69999999925</v>
      </c>
      <c r="I36" s="283">
        <f t="shared" si="1"/>
        <v>1155272.2800000012</v>
      </c>
      <c r="J36" s="283">
        <f t="shared" si="1"/>
        <v>1469932.8600000013</v>
      </c>
      <c r="K36" s="283">
        <f t="shared" si="1"/>
        <v>1663028.4820000008</v>
      </c>
      <c r="L36" s="283">
        <f t="shared" si="1"/>
        <v>1753592.3166400027</v>
      </c>
      <c r="M36" s="283">
        <f t="shared" si="1"/>
        <v>1706165.9412800018</v>
      </c>
      <c r="N36" s="283">
        <f>M39</f>
        <v>1495457.5159199992</v>
      </c>
    </row>
    <row r="37" spans="2:14" ht="26.25" customHeight="1" x14ac:dyDescent="0.25">
      <c r="B37" s="385" t="s">
        <v>93</v>
      </c>
      <c r="C37" s="386" t="s">
        <v>88</v>
      </c>
      <c r="D37" s="375">
        <f t="shared" ref="D37:N37" si="2">SUM(D31:D36)</f>
        <v>7973963</v>
      </c>
      <c r="E37" s="375">
        <f t="shared" si="2"/>
        <v>8224786</v>
      </c>
      <c r="F37" s="375">
        <f t="shared" si="2"/>
        <v>7500793</v>
      </c>
      <c r="G37" s="375">
        <f t="shared" si="2"/>
        <v>7531718.6999999993</v>
      </c>
      <c r="H37" s="375">
        <f t="shared" si="2"/>
        <v>7388934.0400000019</v>
      </c>
      <c r="I37" s="375">
        <f>SUM(I31:I36)</f>
        <v>7701174.8600000022</v>
      </c>
      <c r="J37" s="375">
        <f t="shared" si="2"/>
        <v>8014234.932000001</v>
      </c>
      <c r="K37" s="375">
        <f t="shared" si="2"/>
        <v>8183219.7366400016</v>
      </c>
      <c r="L37" s="375">
        <f t="shared" si="2"/>
        <v>8210301.0312800016</v>
      </c>
      <c r="M37" s="375">
        <f t="shared" si="2"/>
        <v>8092503.9559200006</v>
      </c>
      <c r="N37" s="375">
        <f t="shared" si="2"/>
        <v>7853433.4805599973</v>
      </c>
    </row>
    <row r="38" spans="2:14" ht="15.75" customHeight="1" x14ac:dyDescent="0.25">
      <c r="B38" s="382" t="s">
        <v>94</v>
      </c>
      <c r="C38" s="384" t="s">
        <v>81</v>
      </c>
      <c r="D38" s="283">
        <f>Admin2!C169</f>
        <v>6160506</v>
      </c>
      <c r="E38" s="283">
        <f>Admin2!D169</f>
        <v>6790872</v>
      </c>
      <c r="F38" s="283">
        <f>Admin2!E169</f>
        <v>6397856</v>
      </c>
      <c r="G38" s="283">
        <f>Admin2!F169</f>
        <v>6647448</v>
      </c>
      <c r="H38" s="283">
        <f t="shared" ref="H38:N38" si="3">SUMIFS(INDEX(ExpIndex,0,MATCH("20"&amp;RIGHT(H$5,2),ExpPeriod,0)),ExpFundRollup,"10")</f>
        <v>6233661.7600000007</v>
      </c>
      <c r="I38" s="283">
        <f t="shared" si="3"/>
        <v>6231242.0000000009</v>
      </c>
      <c r="J38" s="283">
        <f t="shared" si="3"/>
        <v>6351206.4500000002</v>
      </c>
      <c r="K38" s="283">
        <f t="shared" si="3"/>
        <v>6429627.419999999</v>
      </c>
      <c r="L38" s="283">
        <f t="shared" si="3"/>
        <v>6504135.0899999999</v>
      </c>
      <c r="M38" s="283">
        <f t="shared" si="3"/>
        <v>6597046.4400000013</v>
      </c>
      <c r="N38" s="283">
        <f t="shared" si="3"/>
        <v>6681280.6200000001</v>
      </c>
    </row>
    <row r="39" spans="2:14" ht="28.5" customHeight="1" x14ac:dyDescent="0.25">
      <c r="B39" s="385" t="s">
        <v>95</v>
      </c>
      <c r="C39" s="463" t="s">
        <v>88</v>
      </c>
      <c r="D39" s="376">
        <f>D37-D38</f>
        <v>1813457</v>
      </c>
      <c r="E39" s="376">
        <f t="shared" ref="E39:J39" si="4">E37-E38</f>
        <v>1433914</v>
      </c>
      <c r="F39" s="376">
        <f t="shared" si="4"/>
        <v>1102937</v>
      </c>
      <c r="G39" s="376">
        <f t="shared" si="4"/>
        <v>884270.69999999925</v>
      </c>
      <c r="H39" s="376">
        <f t="shared" si="4"/>
        <v>1155272.2800000012</v>
      </c>
      <c r="I39" s="376">
        <f>I37-I38</f>
        <v>1469932.8600000013</v>
      </c>
      <c r="J39" s="376">
        <f t="shared" si="4"/>
        <v>1663028.4820000008</v>
      </c>
      <c r="K39" s="376">
        <f>K37-K38</f>
        <v>1753592.3166400027</v>
      </c>
      <c r="L39" s="376">
        <f t="shared" ref="L39" si="5">L37-L38</f>
        <v>1706165.9412800018</v>
      </c>
      <c r="M39" s="376">
        <f>M37-M38</f>
        <v>1495457.5159199992</v>
      </c>
      <c r="N39" s="376">
        <f>N37-N38</f>
        <v>1172152.8605599971</v>
      </c>
    </row>
    <row r="40" spans="2:14" ht="15" customHeight="1" x14ac:dyDescent="0.25">
      <c r="B40" s="382" t="s">
        <v>1853</v>
      </c>
      <c r="C40" s="384"/>
      <c r="D40" s="462">
        <f>D39/D37</f>
        <v>0.22742229930086208</v>
      </c>
      <c r="E40" s="462">
        <f>E39/E37</f>
        <v>0.17434058466688374</v>
      </c>
      <c r="F40" s="462">
        <f t="shared" ref="F40:N40" si="6">F39/F37</f>
        <v>0.14704271934980742</v>
      </c>
      <c r="G40" s="462">
        <f t="shared" si="6"/>
        <v>0.11740623026720307</v>
      </c>
      <c r="H40" s="462">
        <f t="shared" si="6"/>
        <v>0.15635168398390534</v>
      </c>
      <c r="I40" s="462">
        <f t="shared" si="6"/>
        <v>0.19087124844221506</v>
      </c>
      <c r="J40" s="462">
        <f t="shared" si="6"/>
        <v>0.20750932510846445</v>
      </c>
      <c r="K40" s="462">
        <f t="shared" si="6"/>
        <v>0.21429124147655124</v>
      </c>
      <c r="L40" s="462">
        <f t="shared" si="6"/>
        <v>0.20780796401736895</v>
      </c>
      <c r="M40" s="462">
        <f t="shared" si="6"/>
        <v>0.18479540128318508</v>
      </c>
      <c r="N40" s="462">
        <f t="shared" si="6"/>
        <v>0.14925355431627282</v>
      </c>
    </row>
    <row r="41" spans="2:14" x14ac:dyDescent="0.25">
      <c r="B41" s="382" t="s">
        <v>1849</v>
      </c>
      <c r="C41" s="384"/>
      <c r="D41" s="283">
        <f>D38-Admin2!B169</f>
        <v>228788</v>
      </c>
      <c r="E41" s="283">
        <f>E38-D38</f>
        <v>630366</v>
      </c>
      <c r="F41" s="283">
        <f t="shared" ref="F41:N41" si="7">F38-E38</f>
        <v>-393016</v>
      </c>
      <c r="G41" s="283">
        <f t="shared" si="7"/>
        <v>249592</v>
      </c>
      <c r="H41" s="283">
        <f t="shared" si="7"/>
        <v>-413786.23999999929</v>
      </c>
      <c r="I41" s="283">
        <f t="shared" si="7"/>
        <v>-2419.7599999997765</v>
      </c>
      <c r="J41" s="283">
        <f t="shared" si="7"/>
        <v>119964.44999999925</v>
      </c>
      <c r="K41" s="283">
        <f t="shared" si="7"/>
        <v>78420.969999998808</v>
      </c>
      <c r="L41" s="283">
        <f t="shared" si="7"/>
        <v>74507.670000000857</v>
      </c>
      <c r="M41" s="283">
        <f t="shared" si="7"/>
        <v>92911.35000000149</v>
      </c>
      <c r="N41" s="283">
        <f t="shared" si="7"/>
        <v>84234.179999998771</v>
      </c>
    </row>
    <row r="42" spans="2:14" x14ac:dyDescent="0.25">
      <c r="B42" s="382" t="s">
        <v>1850</v>
      </c>
      <c r="C42" s="384"/>
      <c r="D42" s="283">
        <f>D39-Admin2!B170</f>
        <v>-322090</v>
      </c>
      <c r="E42" s="283">
        <f>E39-D39</f>
        <v>-379543</v>
      </c>
      <c r="F42" s="283">
        <f t="shared" ref="F42:N42" si="8">F39-E39</f>
        <v>-330977</v>
      </c>
      <c r="G42" s="283">
        <f t="shared" si="8"/>
        <v>-218666.30000000075</v>
      </c>
      <c r="H42" s="283">
        <f t="shared" si="8"/>
        <v>271001.58000000194</v>
      </c>
      <c r="I42" s="283">
        <f t="shared" si="8"/>
        <v>314660.58000000007</v>
      </c>
      <c r="J42" s="283">
        <f t="shared" si="8"/>
        <v>193095.62199999951</v>
      </c>
      <c r="K42" s="283">
        <f t="shared" si="8"/>
        <v>90563.834640001878</v>
      </c>
      <c r="L42" s="283">
        <f t="shared" si="8"/>
        <v>-47426.375360000879</v>
      </c>
      <c r="M42" s="283">
        <f t="shared" si="8"/>
        <v>-210708.42536000255</v>
      </c>
      <c r="N42" s="283">
        <f t="shared" si="8"/>
        <v>-323304.65536000207</v>
      </c>
    </row>
    <row r="43" spans="2:14" x14ac:dyDescent="0.25">
      <c r="B43" s="382" t="s">
        <v>1851</v>
      </c>
      <c r="C43" s="384"/>
      <c r="D43" s="283">
        <f>D37-D36</f>
        <v>5838416</v>
      </c>
      <c r="E43" s="283">
        <f>E37-E36</f>
        <v>6411329</v>
      </c>
      <c r="F43" s="283">
        <f t="shared" ref="F43:N43" si="9">F37-F36</f>
        <v>6066879</v>
      </c>
      <c r="G43" s="283">
        <f t="shared" si="9"/>
        <v>6428781.6999999993</v>
      </c>
      <c r="H43" s="283">
        <f t="shared" si="9"/>
        <v>6504663.3400000026</v>
      </c>
      <c r="I43" s="283">
        <f t="shared" si="9"/>
        <v>6545902.580000001</v>
      </c>
      <c r="J43" s="283">
        <f t="shared" si="9"/>
        <v>6544302.0719999997</v>
      </c>
      <c r="K43" s="283">
        <f t="shared" si="9"/>
        <v>6520191.2546400009</v>
      </c>
      <c r="L43" s="283">
        <f t="shared" si="9"/>
        <v>6456708.714639999</v>
      </c>
      <c r="M43" s="283">
        <f t="shared" si="9"/>
        <v>6386338.0146399988</v>
      </c>
      <c r="N43" s="283">
        <f t="shared" si="9"/>
        <v>6357975.964639998</v>
      </c>
    </row>
    <row r="44" spans="2:14" x14ac:dyDescent="0.25">
      <c r="B44" s="464" t="s">
        <v>1852</v>
      </c>
      <c r="C44" s="465"/>
      <c r="D44" s="462">
        <f>ROUND(D38/D43,3)</f>
        <v>1.0549999999999999</v>
      </c>
      <c r="E44" s="462">
        <f>ROUND(E38/E43,3)</f>
        <v>1.0589999999999999</v>
      </c>
      <c r="F44" s="462">
        <f t="shared" ref="F44:N44" si="10">ROUND(F38/F43,3)</f>
        <v>1.0549999999999999</v>
      </c>
      <c r="G44" s="462">
        <f t="shared" si="10"/>
        <v>1.034</v>
      </c>
      <c r="H44" s="462">
        <f t="shared" si="10"/>
        <v>0.95799999999999996</v>
      </c>
      <c r="I44" s="462">
        <f t="shared" si="10"/>
        <v>0.95199999999999996</v>
      </c>
      <c r="J44" s="462">
        <f t="shared" si="10"/>
        <v>0.97</v>
      </c>
      <c r="K44" s="462">
        <f t="shared" si="10"/>
        <v>0.98599999999999999</v>
      </c>
      <c r="L44" s="462">
        <f t="shared" si="10"/>
        <v>1.0069999999999999</v>
      </c>
      <c r="M44" s="462">
        <f t="shared" si="10"/>
        <v>1.0329999999999999</v>
      </c>
      <c r="N44" s="462">
        <f t="shared" si="10"/>
        <v>1.0509999999999999</v>
      </c>
    </row>
  </sheetData>
  <mergeCells count="2">
    <mergeCell ref="B2:N2"/>
    <mergeCell ref="B3:N3"/>
  </mergeCells>
  <pageMargins left="0.7" right="0.7" top="0.75" bottom="0.75" header="0.3" footer="0.3"/>
  <pageSetup scale="52" orientation="landscape" r:id="rId1"/>
  <headerFooter>
    <oddFooter>&amp;L&amp;G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C57"/>
  <sheetViews>
    <sheetView topLeftCell="C1" zoomScale="70" zoomScaleNormal="70" workbookViewId="0">
      <selection activeCell="P3" sqref="P3"/>
    </sheetView>
  </sheetViews>
  <sheetFormatPr defaultColWidth="8.85546875" defaultRowHeight="15" x14ac:dyDescent="0.2"/>
  <cols>
    <col min="1" max="1" width="8.85546875" style="407"/>
    <col min="2" max="2" width="33.7109375" style="407" bestFit="1" customWidth="1" collapsed="1"/>
    <col min="3" max="8" width="15.85546875" style="407" customWidth="1" collapsed="1"/>
    <col min="9" max="9" width="8.85546875" style="407"/>
    <col min="10" max="14" width="15.85546875" style="407" customWidth="1" collapsed="1"/>
    <col min="15" max="15" width="8.85546875" style="407"/>
    <col min="16" max="17" width="100.7109375" style="407" customWidth="1" collapsed="1"/>
    <col min="18" max="29" width="30.7109375" style="407" customWidth="1" collapsed="1"/>
    <col min="30" max="16384" width="8.85546875" style="407"/>
  </cols>
  <sheetData>
    <row r="1" spans="2:29" ht="69.75" customHeight="1" x14ac:dyDescent="0.2"/>
    <row r="2" spans="2:29" ht="42.6" customHeight="1" x14ac:dyDescent="0.2">
      <c r="B2" s="496" t="s">
        <v>96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8"/>
    </row>
    <row r="3" spans="2:29" ht="30" customHeight="1" x14ac:dyDescent="0.2">
      <c r="B3" s="507" t="s">
        <v>2238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508"/>
    </row>
    <row r="4" spans="2:29" ht="30" customHeight="1" x14ac:dyDescent="0.2">
      <c r="B4" s="432"/>
      <c r="C4" s="401"/>
      <c r="D4" s="401"/>
      <c r="E4" s="401"/>
      <c r="F4" s="401"/>
      <c r="G4" s="401"/>
      <c r="H4" s="401"/>
      <c r="I4" s="412"/>
      <c r="J4" s="401"/>
      <c r="K4" s="401"/>
      <c r="L4" s="401"/>
      <c r="M4" s="401"/>
      <c r="N4" s="401"/>
      <c r="O4" s="433"/>
    </row>
    <row r="5" spans="2:29" ht="15.75" x14ac:dyDescent="0.2">
      <c r="B5" s="432"/>
      <c r="C5" s="501" t="s">
        <v>97</v>
      </c>
      <c r="D5" s="502"/>
      <c r="E5" s="502"/>
      <c r="F5" s="502"/>
      <c r="G5" s="502"/>
      <c r="H5" s="503"/>
      <c r="I5" s="412"/>
      <c r="J5" s="504" t="s">
        <v>98</v>
      </c>
      <c r="K5" s="505"/>
      <c r="L5" s="505"/>
      <c r="M5" s="505"/>
      <c r="N5" s="506"/>
      <c r="O5" s="433"/>
    </row>
    <row r="6" spans="2:29" ht="15.75" x14ac:dyDescent="0.2">
      <c r="B6" s="434"/>
      <c r="C6" s="416" t="str">
        <f>RIGHT(Admin2!K2,4)</f>
        <v>2013</v>
      </c>
      <c r="D6" s="415" t="str">
        <f>RIGHT(Admin2!L2,4)</f>
        <v>2014</v>
      </c>
      <c r="E6" s="415" t="str">
        <f>RIGHT(Admin2!M2,4)</f>
        <v>2015</v>
      </c>
      <c r="F6" s="415" t="str">
        <f>RIGHT(Admin2!N2,4)</f>
        <v>2016</v>
      </c>
      <c r="G6" s="415" t="str">
        <f>RIGHT(Admin2!O2,4)</f>
        <v>2017</v>
      </c>
      <c r="H6" s="417" t="str">
        <f>RIGHT(Admin2!P2,4)</f>
        <v>2018</v>
      </c>
      <c r="I6" s="412"/>
      <c r="J6" s="421" t="str">
        <f>RIGHT(Admin2!Q2,4)</f>
        <v>2019</v>
      </c>
      <c r="K6" s="415" t="str">
        <f>RIGHT(Admin2!R2,4)</f>
        <v>2020</v>
      </c>
      <c r="L6" s="415" t="str">
        <f>RIGHT(Admin2!S2,4)</f>
        <v>2021</v>
      </c>
      <c r="M6" s="415" t="str">
        <f>RIGHT(Admin2!T2,4)</f>
        <v>2022</v>
      </c>
      <c r="N6" s="422" t="str">
        <f>RIGHT(Admin2!U2,4)</f>
        <v>2023</v>
      </c>
      <c r="O6" s="433"/>
    </row>
    <row r="7" spans="2:29" ht="15.75" x14ac:dyDescent="0.2">
      <c r="B7" s="435" t="s">
        <v>99</v>
      </c>
      <c r="C7" s="427">
        <f>Admin2!C185</f>
        <v>586</v>
      </c>
      <c r="D7" s="428">
        <f>Admin2!D185</f>
        <v>593.4</v>
      </c>
      <c r="E7" s="428">
        <f>Admin2!E185</f>
        <v>573.79999999999995</v>
      </c>
      <c r="F7" s="428">
        <f>Admin2!F185</f>
        <v>546.5</v>
      </c>
      <c r="G7" s="428">
        <f>Admin2!G185</f>
        <v>528.9</v>
      </c>
      <c r="H7" s="429">
        <f>Admin2!H185</f>
        <v>516.6</v>
      </c>
      <c r="I7" s="164"/>
      <c r="J7" s="430">
        <f>Admin2!I185</f>
        <v>505.91</v>
      </c>
      <c r="K7" s="428">
        <f>Admin2!J185</f>
        <v>490.91</v>
      </c>
      <c r="L7" s="428">
        <f>Admin2!K185</f>
        <v>475.91</v>
      </c>
      <c r="M7" s="428">
        <f>Admin2!L185</f>
        <v>465.91</v>
      </c>
      <c r="N7" s="431">
        <f>Admin2!M185</f>
        <v>460.91</v>
      </c>
      <c r="O7" s="433"/>
    </row>
    <row r="8" spans="2:29" ht="15.75" x14ac:dyDescent="0.2">
      <c r="B8" s="435" t="s">
        <v>100</v>
      </c>
      <c r="C8" s="427"/>
      <c r="D8" s="428">
        <f>D7-C7</f>
        <v>7.3999999999999773</v>
      </c>
      <c r="E8" s="428">
        <f>E7-D7</f>
        <v>-19.600000000000023</v>
      </c>
      <c r="F8" s="428">
        <f>F7-E7</f>
        <v>-27.299999999999955</v>
      </c>
      <c r="G8" s="428">
        <f>G7-F7</f>
        <v>-17.600000000000023</v>
      </c>
      <c r="H8" s="429">
        <f>H7-G7</f>
        <v>-12.299999999999955</v>
      </c>
      <c r="I8" s="413"/>
      <c r="J8" s="430">
        <f>J7-H7</f>
        <v>-10.689999999999998</v>
      </c>
      <c r="K8" s="428">
        <f>K7-J7</f>
        <v>-15</v>
      </c>
      <c r="L8" s="428">
        <f>L7-K7</f>
        <v>-15</v>
      </c>
      <c r="M8" s="428">
        <f>M7-L7</f>
        <v>-10</v>
      </c>
      <c r="N8" s="431">
        <f>N7-M7</f>
        <v>-5</v>
      </c>
      <c r="O8" s="433"/>
    </row>
    <row r="9" spans="2:29" ht="15.75" x14ac:dyDescent="0.2">
      <c r="B9" s="435" t="s">
        <v>101</v>
      </c>
      <c r="C9" s="418"/>
      <c r="D9" s="419">
        <f>D8/C7</f>
        <v>1.2627986348122828E-2</v>
      </c>
      <c r="E9" s="419">
        <f>E8/D7</f>
        <v>-3.3029996629592218E-2</v>
      </c>
      <c r="F9" s="419">
        <f>F8/E7</f>
        <v>-4.7577553154409126E-2</v>
      </c>
      <c r="G9" s="419">
        <f>G8/F7</f>
        <v>-3.220494053064963E-2</v>
      </c>
      <c r="H9" s="420">
        <f>H8/G7</f>
        <v>-2.3255813953488289E-2</v>
      </c>
      <c r="I9" s="291"/>
      <c r="J9" s="423">
        <f>J8/H7</f>
        <v>-2.0692992644212153E-2</v>
      </c>
      <c r="K9" s="424">
        <f>K8/J7</f>
        <v>-2.9649542408728823E-2</v>
      </c>
      <c r="L9" s="424">
        <f>L8/K7</f>
        <v>-3.0555498971298199E-2</v>
      </c>
      <c r="M9" s="424">
        <f>M8/L7</f>
        <v>-2.1012376289634593E-2</v>
      </c>
      <c r="N9" s="425">
        <f>N8/M7</f>
        <v>-1.0731686377197312E-2</v>
      </c>
      <c r="O9" s="433"/>
    </row>
    <row r="10" spans="2:29" x14ac:dyDescent="0.2">
      <c r="B10" s="436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37"/>
    </row>
    <row r="11" spans="2:29" x14ac:dyDescent="0.2">
      <c r="B11" s="438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33"/>
      <c r="S11" s="407">
        <v>2011</v>
      </c>
      <c r="T11" s="407">
        <v>2012</v>
      </c>
      <c r="U11" s="407">
        <v>2013</v>
      </c>
      <c r="V11" s="407">
        <v>2014</v>
      </c>
      <c r="W11" s="407">
        <v>2015</v>
      </c>
      <c r="X11" s="407">
        <v>2016</v>
      </c>
      <c r="Y11" s="407">
        <v>2017</v>
      </c>
      <c r="Z11" s="407">
        <v>2018</v>
      </c>
      <c r="AA11" s="407">
        <v>2019</v>
      </c>
      <c r="AB11" s="407">
        <v>2020</v>
      </c>
      <c r="AC11" s="407">
        <v>2021</v>
      </c>
    </row>
    <row r="12" spans="2:29" x14ac:dyDescent="0.2">
      <c r="B12" s="438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33"/>
      <c r="R12" s="407" t="s">
        <v>96</v>
      </c>
      <c r="S12" s="408">
        <f t="shared" ref="S12:X12" si="0">C7</f>
        <v>586</v>
      </c>
      <c r="T12" s="408">
        <f t="shared" si="0"/>
        <v>593.4</v>
      </c>
      <c r="U12" s="408">
        <f t="shared" si="0"/>
        <v>573.79999999999995</v>
      </c>
      <c r="V12" s="408">
        <f t="shared" si="0"/>
        <v>546.5</v>
      </c>
      <c r="W12" s="408">
        <f t="shared" si="0"/>
        <v>528.9</v>
      </c>
      <c r="X12" s="408">
        <f t="shared" si="0"/>
        <v>516.6</v>
      </c>
      <c r="Y12" s="408">
        <f>J7</f>
        <v>505.91</v>
      </c>
      <c r="Z12" s="408">
        <f>K7</f>
        <v>490.91</v>
      </c>
      <c r="AA12" s="408">
        <f>L7</f>
        <v>475.91</v>
      </c>
      <c r="AB12" s="408">
        <f>M7</f>
        <v>465.91</v>
      </c>
      <c r="AC12" s="408">
        <f>N7</f>
        <v>460.91</v>
      </c>
    </row>
    <row r="13" spans="2:29" x14ac:dyDescent="0.2">
      <c r="B13" s="439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40"/>
    </row>
    <row r="14" spans="2:29" x14ac:dyDescent="0.2">
      <c r="B14" s="438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33"/>
      <c r="R14" s="407" t="s">
        <v>173</v>
      </c>
      <c r="T14" s="408">
        <f>D8</f>
        <v>7.3999999999999773</v>
      </c>
      <c r="U14" s="408">
        <f>E8</f>
        <v>-19.600000000000023</v>
      </c>
      <c r="V14" s="408">
        <f>F8</f>
        <v>-27.299999999999955</v>
      </c>
      <c r="W14" s="408">
        <f>G8</f>
        <v>-17.600000000000023</v>
      </c>
      <c r="X14" s="408">
        <f>H8</f>
        <v>-12.299999999999955</v>
      </c>
      <c r="Y14" s="408">
        <f>J8</f>
        <v>-10.689999999999998</v>
      </c>
      <c r="Z14" s="408">
        <f>K8</f>
        <v>-15</v>
      </c>
      <c r="AA14" s="408">
        <f>L8</f>
        <v>-15</v>
      </c>
      <c r="AB14" s="408">
        <f>M8</f>
        <v>-10</v>
      </c>
      <c r="AC14" s="408">
        <f>N8</f>
        <v>-5</v>
      </c>
    </row>
    <row r="15" spans="2:29" x14ac:dyDescent="0.2">
      <c r="B15" s="438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33"/>
    </row>
    <row r="16" spans="2:29" x14ac:dyDescent="0.2">
      <c r="B16" s="438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33"/>
    </row>
    <row r="17" spans="2:15" x14ac:dyDescent="0.2">
      <c r="B17" s="438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33"/>
    </row>
    <row r="18" spans="2:15" x14ac:dyDescent="0.2">
      <c r="B18" s="438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33"/>
    </row>
    <row r="19" spans="2:15" x14ac:dyDescent="0.2">
      <c r="B19" s="438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33"/>
    </row>
    <row r="20" spans="2:15" x14ac:dyDescent="0.2">
      <c r="B20" s="438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33"/>
    </row>
    <row r="21" spans="2:15" x14ac:dyDescent="0.2">
      <c r="B21" s="438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33"/>
    </row>
    <row r="22" spans="2:15" x14ac:dyDescent="0.2">
      <c r="B22" s="438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33"/>
    </row>
    <row r="23" spans="2:15" x14ac:dyDescent="0.2">
      <c r="B23" s="438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33"/>
    </row>
    <row r="24" spans="2:15" x14ac:dyDescent="0.2">
      <c r="B24" s="438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33"/>
    </row>
    <row r="25" spans="2:15" x14ac:dyDescent="0.2">
      <c r="B25" s="438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33"/>
    </row>
    <row r="26" spans="2:15" x14ac:dyDescent="0.2">
      <c r="B26" s="438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33"/>
    </row>
    <row r="27" spans="2:15" x14ac:dyDescent="0.2">
      <c r="B27" s="438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33"/>
    </row>
    <row r="28" spans="2:15" x14ac:dyDescent="0.2">
      <c r="B28" s="438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33"/>
    </row>
    <row r="29" spans="2:15" x14ac:dyDescent="0.2">
      <c r="B29" s="438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33"/>
    </row>
    <row r="30" spans="2:15" x14ac:dyDescent="0.2">
      <c r="B30" s="438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33"/>
    </row>
    <row r="31" spans="2:15" x14ac:dyDescent="0.2">
      <c r="B31" s="438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33"/>
    </row>
    <row r="32" spans="2:15" x14ac:dyDescent="0.2">
      <c r="B32" s="441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3"/>
    </row>
    <row r="39" spans="1:16" x14ac:dyDescent="0.2">
      <c r="A39" s="409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</row>
    <row r="40" spans="1:16" x14ac:dyDescent="0.2">
      <c r="A40" s="409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</row>
    <row r="41" spans="1:16" x14ac:dyDescent="0.2">
      <c r="A41" s="409"/>
      <c r="B41" s="410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9"/>
      <c r="P41" s="409"/>
    </row>
    <row r="42" spans="1:16" x14ac:dyDescent="0.2">
      <c r="A42" s="409"/>
      <c r="B42" s="410"/>
      <c r="C42" s="402"/>
      <c r="D42" s="402"/>
      <c r="E42" s="402"/>
      <c r="F42" s="402"/>
      <c r="G42" s="402"/>
      <c r="H42" s="402"/>
      <c r="I42" s="403"/>
      <c r="J42" s="404"/>
      <c r="K42" s="404"/>
      <c r="L42" s="404"/>
      <c r="M42" s="404"/>
      <c r="N42" s="404"/>
      <c r="O42" s="409"/>
      <c r="P42" s="409"/>
    </row>
    <row r="43" spans="1:16" x14ac:dyDescent="0.2">
      <c r="A43" s="409"/>
      <c r="B43" s="411"/>
      <c r="C43" s="405"/>
      <c r="D43" s="405"/>
      <c r="E43" s="405"/>
      <c r="F43" s="405"/>
      <c r="G43" s="405"/>
      <c r="H43" s="405"/>
      <c r="I43" s="405"/>
      <c r="J43" s="406"/>
      <c r="K43" s="406"/>
      <c r="L43" s="406"/>
      <c r="M43" s="406"/>
      <c r="N43" s="406"/>
      <c r="O43" s="409"/>
      <c r="P43" s="409"/>
    </row>
    <row r="44" spans="1:16" x14ac:dyDescent="0.2">
      <c r="A44" s="409"/>
      <c r="B44" s="411"/>
      <c r="C44" s="405"/>
      <c r="D44" s="405"/>
      <c r="E44" s="405"/>
      <c r="F44" s="405"/>
      <c r="G44" s="405"/>
      <c r="H44" s="405"/>
      <c r="I44" s="405"/>
      <c r="J44" s="406"/>
      <c r="K44" s="406"/>
      <c r="L44" s="406"/>
      <c r="M44" s="406"/>
      <c r="N44" s="406"/>
      <c r="O44" s="409"/>
      <c r="P44" s="409"/>
    </row>
    <row r="45" spans="1:16" x14ac:dyDescent="0.2">
      <c r="A45" s="409"/>
      <c r="B45" s="411"/>
      <c r="C45" s="405"/>
      <c r="D45" s="405"/>
      <c r="E45" s="405"/>
      <c r="F45" s="405"/>
      <c r="G45" s="405"/>
      <c r="H45" s="405"/>
      <c r="I45" s="405"/>
      <c r="J45" s="406"/>
      <c r="K45" s="406"/>
      <c r="L45" s="406"/>
      <c r="M45" s="406"/>
      <c r="N45" s="406"/>
      <c r="O45" s="409"/>
      <c r="P45" s="409"/>
    </row>
    <row r="46" spans="1:16" x14ac:dyDescent="0.2">
      <c r="A46" s="409"/>
      <c r="B46" s="411"/>
      <c r="C46" s="405"/>
      <c r="D46" s="405"/>
      <c r="E46" s="405"/>
      <c r="F46" s="405"/>
      <c r="G46" s="405"/>
      <c r="H46" s="405"/>
      <c r="I46" s="405"/>
      <c r="J46" s="406"/>
      <c r="K46" s="406"/>
      <c r="L46" s="406"/>
      <c r="M46" s="406"/>
      <c r="N46" s="406"/>
      <c r="O46" s="409"/>
      <c r="P46" s="409"/>
    </row>
    <row r="47" spans="1:16" x14ac:dyDescent="0.2">
      <c r="A47" s="409"/>
      <c r="B47" s="411"/>
      <c r="C47" s="405"/>
      <c r="D47" s="405"/>
      <c r="E47" s="405"/>
      <c r="F47" s="405"/>
      <c r="G47" s="405"/>
      <c r="H47" s="405"/>
      <c r="I47" s="405"/>
      <c r="J47" s="406"/>
      <c r="K47" s="406"/>
      <c r="L47" s="406"/>
      <c r="M47" s="406"/>
      <c r="N47" s="406"/>
      <c r="O47" s="409"/>
      <c r="P47" s="409"/>
    </row>
    <row r="48" spans="1:16" x14ac:dyDescent="0.2">
      <c r="A48" s="409"/>
      <c r="B48" s="411"/>
      <c r="C48" s="405"/>
      <c r="D48" s="405"/>
      <c r="E48" s="405"/>
      <c r="F48" s="405"/>
      <c r="G48" s="405"/>
      <c r="H48" s="405"/>
      <c r="I48" s="405"/>
      <c r="J48" s="406"/>
      <c r="K48" s="406"/>
      <c r="L48" s="406"/>
      <c r="M48" s="406"/>
      <c r="N48" s="406"/>
      <c r="O48" s="409"/>
      <c r="P48" s="409"/>
    </row>
    <row r="49" spans="1:16" x14ac:dyDescent="0.2">
      <c r="A49" s="409"/>
      <c r="B49" s="411"/>
      <c r="C49" s="405"/>
      <c r="D49" s="405"/>
      <c r="E49" s="405"/>
      <c r="F49" s="405"/>
      <c r="G49" s="405"/>
      <c r="H49" s="405"/>
      <c r="I49" s="405"/>
      <c r="J49" s="406"/>
      <c r="K49" s="406"/>
      <c r="L49" s="406"/>
      <c r="M49" s="406"/>
      <c r="N49" s="406"/>
      <c r="O49" s="409"/>
      <c r="P49" s="409"/>
    </row>
    <row r="50" spans="1:16" x14ac:dyDescent="0.2">
      <c r="A50" s="409"/>
      <c r="B50" s="411"/>
      <c r="C50" s="405"/>
      <c r="D50" s="405"/>
      <c r="E50" s="405"/>
      <c r="F50" s="405"/>
      <c r="G50" s="405"/>
      <c r="H50" s="405"/>
      <c r="I50" s="405"/>
      <c r="J50" s="406"/>
      <c r="K50" s="406"/>
      <c r="L50" s="406"/>
      <c r="M50" s="406"/>
      <c r="N50" s="406"/>
      <c r="O50" s="409"/>
      <c r="P50" s="409"/>
    </row>
    <row r="51" spans="1:16" x14ac:dyDescent="0.2">
      <c r="A51" s="409"/>
      <c r="B51" s="411"/>
      <c r="C51" s="405"/>
      <c r="D51" s="405"/>
      <c r="E51" s="405"/>
      <c r="F51" s="405"/>
      <c r="G51" s="405"/>
      <c r="H51" s="405"/>
      <c r="I51" s="405"/>
      <c r="J51" s="406"/>
      <c r="K51" s="406"/>
      <c r="L51" s="406"/>
      <c r="M51" s="406"/>
      <c r="N51" s="406"/>
      <c r="O51" s="409"/>
      <c r="P51" s="409"/>
    </row>
    <row r="52" spans="1:16" x14ac:dyDescent="0.2">
      <c r="A52" s="409"/>
      <c r="B52" s="411"/>
      <c r="C52" s="405"/>
      <c r="D52" s="405"/>
      <c r="E52" s="405"/>
      <c r="F52" s="405"/>
      <c r="G52" s="405"/>
      <c r="H52" s="405"/>
      <c r="I52" s="405"/>
      <c r="J52" s="406"/>
      <c r="K52" s="406"/>
      <c r="L52" s="406"/>
      <c r="M52" s="406"/>
      <c r="N52" s="406"/>
      <c r="O52" s="409"/>
      <c r="P52" s="409"/>
    </row>
    <row r="53" spans="1:16" x14ac:dyDescent="0.2">
      <c r="A53" s="409"/>
      <c r="B53" s="411"/>
      <c r="C53" s="405"/>
      <c r="D53" s="405"/>
      <c r="E53" s="405"/>
      <c r="F53" s="405"/>
      <c r="G53" s="405"/>
      <c r="H53" s="405"/>
      <c r="I53" s="405"/>
      <c r="J53" s="406"/>
      <c r="K53" s="406"/>
      <c r="L53" s="406"/>
      <c r="M53" s="406"/>
      <c r="N53" s="406"/>
      <c r="O53" s="409"/>
      <c r="P53" s="409"/>
    </row>
    <row r="54" spans="1:16" x14ac:dyDescent="0.2">
      <c r="A54" s="409"/>
      <c r="B54" s="411"/>
      <c r="C54" s="405"/>
      <c r="D54" s="405"/>
      <c r="E54" s="405"/>
      <c r="F54" s="405"/>
      <c r="G54" s="405"/>
      <c r="H54" s="405"/>
      <c r="I54" s="405"/>
      <c r="J54" s="406"/>
      <c r="K54" s="406"/>
      <c r="L54" s="406"/>
      <c r="M54" s="406"/>
      <c r="N54" s="406"/>
      <c r="O54" s="409"/>
      <c r="P54" s="409"/>
    </row>
    <row r="55" spans="1:16" x14ac:dyDescent="0.2">
      <c r="A55" s="409"/>
      <c r="B55" s="411"/>
      <c r="C55" s="405"/>
      <c r="D55" s="405"/>
      <c r="E55" s="405"/>
      <c r="F55" s="405"/>
      <c r="G55" s="405"/>
      <c r="H55" s="405"/>
      <c r="I55" s="405"/>
      <c r="J55" s="406"/>
      <c r="K55" s="406"/>
      <c r="L55" s="406"/>
      <c r="M55" s="406"/>
      <c r="N55" s="406"/>
      <c r="O55" s="409"/>
      <c r="P55" s="409"/>
    </row>
    <row r="56" spans="1:16" x14ac:dyDescent="0.2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</row>
    <row r="57" spans="1:16" x14ac:dyDescent="0.2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</row>
  </sheetData>
  <mergeCells count="4">
    <mergeCell ref="C5:H5"/>
    <mergeCell ref="J5:N5"/>
    <mergeCell ref="B2:O2"/>
    <mergeCell ref="B3:O3"/>
  </mergeCells>
  <pageMargins left="0.7" right="0.7" top="0.75" bottom="0.75" header="0.3" footer="0.3"/>
  <pageSetup scale="54" orientation="landscape" r:id="rId1"/>
  <headerFooter>
    <oddFooter>&amp;L&amp;G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K56"/>
  <sheetViews>
    <sheetView zoomScale="90" zoomScaleNormal="90" workbookViewId="0">
      <selection activeCell="B3" sqref="B3:I3"/>
    </sheetView>
  </sheetViews>
  <sheetFormatPr defaultColWidth="8.85546875" defaultRowHeight="15" x14ac:dyDescent="0.25"/>
  <cols>
    <col min="1" max="1" width="8.85546875" style="55" collapsed="1"/>
    <col min="2" max="2" width="49.5703125" style="55" bestFit="1" customWidth="1" collapsed="1"/>
    <col min="3" max="3" width="15" style="55" customWidth="1" collapsed="1"/>
    <col min="4" max="8" width="12.7109375" style="55" customWidth="1" collapsed="1"/>
    <col min="9" max="9" width="7" style="55" customWidth="1" collapsed="1"/>
    <col min="10" max="16384" width="8.85546875" style="55" collapsed="1"/>
  </cols>
  <sheetData>
    <row r="1" spans="2:9" ht="69.75" customHeight="1" x14ac:dyDescent="0.25"/>
    <row r="2" spans="2:9" ht="42.6" customHeight="1" x14ac:dyDescent="0.25">
      <c r="B2" s="510" t="s">
        <v>1409</v>
      </c>
      <c r="C2" s="511"/>
      <c r="D2" s="511"/>
      <c r="E2" s="511"/>
      <c r="F2" s="511"/>
      <c r="G2" s="511"/>
      <c r="H2" s="511"/>
      <c r="I2" s="512"/>
    </row>
    <row r="3" spans="2:9" ht="30" customHeight="1" x14ac:dyDescent="0.25">
      <c r="B3" s="513" t="s">
        <v>2236</v>
      </c>
      <c r="C3" s="514"/>
      <c r="D3" s="514"/>
      <c r="E3" s="514"/>
      <c r="F3" s="514"/>
      <c r="G3" s="514"/>
      <c r="H3" s="514"/>
      <c r="I3" s="515"/>
    </row>
    <row r="4" spans="2:9" ht="30" customHeight="1" x14ac:dyDescent="0.25">
      <c r="B4" s="88"/>
      <c r="C4" s="87"/>
      <c r="D4" s="87"/>
      <c r="E4" s="87"/>
      <c r="F4" s="87"/>
      <c r="G4" s="87"/>
      <c r="H4" s="87"/>
      <c r="I4" s="89"/>
    </row>
    <row r="5" spans="2:9" ht="15.75" x14ac:dyDescent="0.25">
      <c r="B5" s="88"/>
      <c r="C5" s="155" t="s">
        <v>621</v>
      </c>
      <c r="D5" s="471" t="s">
        <v>622</v>
      </c>
      <c r="E5" s="471"/>
      <c r="F5" s="471"/>
      <c r="G5" s="471"/>
      <c r="H5" s="480"/>
      <c r="I5" s="89"/>
    </row>
    <row r="6" spans="2:9" ht="15.75" x14ac:dyDescent="0.25">
      <c r="B6" s="91"/>
      <c r="C6" s="156" t="str">
        <f>RIGHT(Admin2!P2,4)</f>
        <v>2018</v>
      </c>
      <c r="D6" s="151" t="str">
        <f>RIGHT(Admin2!Q2,4)</f>
        <v>2019</v>
      </c>
      <c r="E6" s="151" t="str">
        <f>RIGHT(Admin2!R2,4)</f>
        <v>2020</v>
      </c>
      <c r="F6" s="151" t="str">
        <f>RIGHT(Admin2!S2,4)</f>
        <v>2021</v>
      </c>
      <c r="G6" s="151" t="str">
        <f>RIGHT(Admin2!T2,4)</f>
        <v>2022</v>
      </c>
      <c r="H6" s="309" t="str">
        <f>RIGHT(Admin2!U2,4)</f>
        <v>2023</v>
      </c>
      <c r="I6" s="90"/>
    </row>
    <row r="7" spans="2:9" ht="15.75" x14ac:dyDescent="0.25">
      <c r="B7" s="171" t="s">
        <v>102</v>
      </c>
      <c r="C7" s="284"/>
      <c r="D7" s="285"/>
      <c r="E7" s="285"/>
      <c r="F7" s="285"/>
      <c r="G7" s="285"/>
      <c r="H7" s="286"/>
      <c r="I7" s="60"/>
    </row>
    <row r="8" spans="2:9" x14ac:dyDescent="0.25">
      <c r="B8" s="175" t="s">
        <v>103</v>
      </c>
      <c r="C8" s="287">
        <f>Admin2!D51</f>
        <v>516.6</v>
      </c>
      <c r="D8" s="288">
        <f>Admin2!E51</f>
        <v>505.91</v>
      </c>
      <c r="E8" s="288">
        <f>Admin2!F51</f>
        <v>490.91</v>
      </c>
      <c r="F8" s="288">
        <f>Admin2!G51</f>
        <v>475.91</v>
      </c>
      <c r="G8" s="288">
        <f>Admin2!H51</f>
        <v>465.91</v>
      </c>
      <c r="H8" s="289">
        <f>Admin2!I51</f>
        <v>460.91</v>
      </c>
      <c r="I8" s="60"/>
    </row>
    <row r="9" spans="2:9" x14ac:dyDescent="0.25">
      <c r="B9" s="175" t="s">
        <v>104</v>
      </c>
      <c r="C9" s="287">
        <f>Admin2!D52</f>
        <v>-12.299999999999955</v>
      </c>
      <c r="D9" s="288">
        <f>Admin2!E52</f>
        <v>-10.689999999999998</v>
      </c>
      <c r="E9" s="288">
        <f>Admin2!F52</f>
        <v>-15</v>
      </c>
      <c r="F9" s="288">
        <f>Admin2!G52</f>
        <v>-15</v>
      </c>
      <c r="G9" s="288">
        <f>Admin2!H52</f>
        <v>-10</v>
      </c>
      <c r="H9" s="289">
        <f>Admin2!I52</f>
        <v>-5</v>
      </c>
      <c r="I9" s="60"/>
    </row>
    <row r="10" spans="2:9" x14ac:dyDescent="0.25">
      <c r="B10" s="175" t="s">
        <v>1416</v>
      </c>
      <c r="C10" s="287">
        <f>Admin2!D53</f>
        <v>484</v>
      </c>
      <c r="D10" s="288">
        <f>Admin2!E53</f>
        <v>473.71000000000009</v>
      </c>
      <c r="E10" s="288">
        <f>Admin2!F53</f>
        <v>458.71000000000009</v>
      </c>
      <c r="F10" s="288">
        <f>Admin2!G53</f>
        <v>443.71000000000004</v>
      </c>
      <c r="G10" s="288">
        <f>Admin2!H53</f>
        <v>433.71000000000004</v>
      </c>
      <c r="H10" s="289">
        <f>Admin2!I53</f>
        <v>428.71000000000004</v>
      </c>
      <c r="I10" s="60"/>
    </row>
    <row r="11" spans="2:9" x14ac:dyDescent="0.25">
      <c r="B11" s="175" t="s">
        <v>105</v>
      </c>
      <c r="C11" s="287">
        <f>Admin2!D54</f>
        <v>-15.399999999999977</v>
      </c>
      <c r="D11" s="288">
        <f>Admin2!E54</f>
        <v>-10.289999999999907</v>
      </c>
      <c r="E11" s="288">
        <f>Admin2!F54</f>
        <v>-15</v>
      </c>
      <c r="F11" s="288">
        <f>Admin2!G54</f>
        <v>-15.000000000000057</v>
      </c>
      <c r="G11" s="288">
        <f>Admin2!H54</f>
        <v>-10</v>
      </c>
      <c r="H11" s="289">
        <f>Admin2!I54</f>
        <v>-5</v>
      </c>
      <c r="I11" s="60"/>
    </row>
    <row r="12" spans="2:9" x14ac:dyDescent="0.25">
      <c r="B12" s="175" t="s">
        <v>557</v>
      </c>
      <c r="C12" s="287">
        <f>Admin2!D55</f>
        <v>24</v>
      </c>
      <c r="D12" s="288">
        <f>Admin2!E55</f>
        <v>24</v>
      </c>
      <c r="E12" s="288">
        <f>Admin2!F55</f>
        <v>24</v>
      </c>
      <c r="F12" s="288">
        <f>Admin2!G55</f>
        <v>24</v>
      </c>
      <c r="G12" s="288">
        <f>Admin2!H55</f>
        <v>24</v>
      </c>
      <c r="H12" s="289">
        <f>Admin2!I55</f>
        <v>24</v>
      </c>
      <c r="I12" s="60"/>
    </row>
    <row r="13" spans="2:9" x14ac:dyDescent="0.25">
      <c r="B13" s="175" t="s">
        <v>106</v>
      </c>
      <c r="C13" s="290">
        <f>Admin2!D56</f>
        <v>1.11E-2</v>
      </c>
      <c r="D13" s="291">
        <f>Admin2!E56</f>
        <v>0.01</v>
      </c>
      <c r="E13" s="291">
        <f>Admin2!F56</f>
        <v>0.01</v>
      </c>
      <c r="F13" s="291">
        <f>Admin2!G56</f>
        <v>0.01</v>
      </c>
      <c r="G13" s="291">
        <f>Admin2!H56</f>
        <v>0.01</v>
      </c>
      <c r="H13" s="292">
        <f>Admin2!I56</f>
        <v>0.01</v>
      </c>
      <c r="I13" s="60"/>
    </row>
    <row r="14" spans="2:9" x14ac:dyDescent="0.25">
      <c r="B14" s="175" t="s">
        <v>107</v>
      </c>
      <c r="C14" s="293">
        <f>Admin2!D57</f>
        <v>110981</v>
      </c>
      <c r="D14" s="294">
        <f>Admin2!E57</f>
        <v>155000</v>
      </c>
      <c r="E14" s="294">
        <f>Admin2!F57</f>
        <v>160000</v>
      </c>
      <c r="F14" s="294">
        <f>Admin2!G57</f>
        <v>165000</v>
      </c>
      <c r="G14" s="294">
        <f>Admin2!H57</f>
        <v>165000</v>
      </c>
      <c r="H14" s="295">
        <f>Admin2!I57</f>
        <v>165000</v>
      </c>
      <c r="I14" s="60"/>
    </row>
    <row r="15" spans="2:9" x14ac:dyDescent="0.25">
      <c r="B15" s="175" t="s">
        <v>108</v>
      </c>
      <c r="C15" s="296">
        <f>Admin2!D58</f>
        <v>0.1</v>
      </c>
      <c r="D15" s="297">
        <f>Admin2!E58</f>
        <v>0.1</v>
      </c>
      <c r="E15" s="297">
        <f>Admin2!F58</f>
        <v>0.1</v>
      </c>
      <c r="F15" s="297">
        <f>Admin2!G58</f>
        <v>0.1</v>
      </c>
      <c r="G15" s="297">
        <f>Admin2!H58</f>
        <v>0.1</v>
      </c>
      <c r="H15" s="298">
        <f>Admin2!I58</f>
        <v>0.1</v>
      </c>
      <c r="I15" s="60"/>
    </row>
    <row r="16" spans="2:9" x14ac:dyDescent="0.25">
      <c r="B16" s="175" t="s">
        <v>109</v>
      </c>
      <c r="C16" s="296">
        <f>Admin2!D59</f>
        <v>0.09</v>
      </c>
      <c r="D16" s="297">
        <f>Admin2!E59</f>
        <v>0.09</v>
      </c>
      <c r="E16" s="297">
        <f>Admin2!F59</f>
        <v>0.09</v>
      </c>
      <c r="F16" s="297">
        <f>Admin2!G59</f>
        <v>0.09</v>
      </c>
      <c r="G16" s="297">
        <f>Admin2!H59</f>
        <v>0.09</v>
      </c>
      <c r="H16" s="298">
        <f>Admin2!I59</f>
        <v>0.09</v>
      </c>
      <c r="I16" s="60"/>
    </row>
    <row r="17" spans="2:9" ht="15.75" x14ac:dyDescent="0.25">
      <c r="B17" s="299" t="s">
        <v>110</v>
      </c>
      <c r="C17" s="293">
        <f>Admin2!D60</f>
        <v>379557</v>
      </c>
      <c r="D17" s="294">
        <f>Admin2!E60</f>
        <v>230000</v>
      </c>
      <c r="E17" s="294">
        <f>Admin2!F60</f>
        <v>235000</v>
      </c>
      <c r="F17" s="294">
        <f>Admin2!G60</f>
        <v>240000</v>
      </c>
      <c r="G17" s="294">
        <f>Admin2!H60</f>
        <v>235000</v>
      </c>
      <c r="H17" s="295">
        <f>Admin2!I60</f>
        <v>235000</v>
      </c>
      <c r="I17" s="60"/>
    </row>
    <row r="18" spans="2:9" ht="15.75" x14ac:dyDescent="0.25">
      <c r="B18" s="299" t="s">
        <v>111</v>
      </c>
      <c r="C18" s="293">
        <f>Admin2!D61</f>
        <v>200000</v>
      </c>
      <c r="D18" s="294">
        <f>Admin2!E61</f>
        <v>411118</v>
      </c>
      <c r="E18" s="294">
        <f>Admin2!F61</f>
        <v>435183</v>
      </c>
      <c r="F18" s="294">
        <f>Admin2!G61</f>
        <v>505101</v>
      </c>
      <c r="G18" s="294">
        <f>Admin2!H61</f>
        <v>609536</v>
      </c>
      <c r="H18" s="295">
        <f>Admin2!I61</f>
        <v>715743</v>
      </c>
      <c r="I18" s="60"/>
    </row>
    <row r="19" spans="2:9" x14ac:dyDescent="0.25">
      <c r="B19" s="175" t="s">
        <v>112</v>
      </c>
      <c r="C19" s="290">
        <f>Admin2!D62</f>
        <v>3.4713481001669551E-2</v>
      </c>
      <c r="D19" s="291">
        <f>Admin2!E62</f>
        <v>0.03</v>
      </c>
      <c r="E19" s="291">
        <f>Admin2!F62</f>
        <v>0.03</v>
      </c>
      <c r="F19" s="291">
        <f>Admin2!G62</f>
        <v>0.03</v>
      </c>
      <c r="G19" s="291">
        <f>Admin2!H62</f>
        <v>0.03</v>
      </c>
      <c r="H19" s="292">
        <f>Admin2!I62</f>
        <v>0.03</v>
      </c>
      <c r="I19" s="60"/>
    </row>
    <row r="20" spans="2:9" x14ac:dyDescent="0.25">
      <c r="B20" s="175" t="s">
        <v>558</v>
      </c>
      <c r="C20" s="290">
        <f>Admin2!D63</f>
        <v>0</v>
      </c>
      <c r="D20" s="291">
        <f>Admin2!E63</f>
        <v>0.03</v>
      </c>
      <c r="E20" s="291">
        <f>Admin2!F63</f>
        <v>0.03</v>
      </c>
      <c r="F20" s="291">
        <f>Admin2!G63</f>
        <v>0.03</v>
      </c>
      <c r="G20" s="291">
        <f>Admin2!H63</f>
        <v>0.03</v>
      </c>
      <c r="H20" s="292">
        <f>Admin2!I63</f>
        <v>0.03</v>
      </c>
      <c r="I20" s="60"/>
    </row>
    <row r="21" spans="2:9" x14ac:dyDescent="0.25">
      <c r="B21" s="175" t="s">
        <v>113</v>
      </c>
      <c r="C21" s="293">
        <f>Admin2!D64</f>
        <v>0</v>
      </c>
      <c r="D21" s="294">
        <f>Admin2!E64</f>
        <v>0</v>
      </c>
      <c r="E21" s="294">
        <f>Admin2!F64</f>
        <v>0</v>
      </c>
      <c r="F21" s="294">
        <f>Admin2!G64</f>
        <v>0</v>
      </c>
      <c r="G21" s="294">
        <f>Admin2!H64</f>
        <v>0</v>
      </c>
      <c r="H21" s="295">
        <f>Admin2!I64</f>
        <v>0</v>
      </c>
      <c r="I21" s="60"/>
    </row>
    <row r="22" spans="2:9" x14ac:dyDescent="0.25">
      <c r="B22" s="175" t="s">
        <v>114</v>
      </c>
      <c r="C22" s="293">
        <f>Admin2!D65</f>
        <v>63273</v>
      </c>
      <c r="D22" s="294">
        <f>Admin2!E65</f>
        <v>33636.131999999998</v>
      </c>
      <c r="E22" s="294">
        <f>Admin2!F65</f>
        <v>34308.854639999998</v>
      </c>
      <c r="F22" s="294">
        <f>Admin2!G65</f>
        <v>34308.854639999998</v>
      </c>
      <c r="G22" s="294">
        <f>Admin2!H65</f>
        <v>34308.854639999998</v>
      </c>
      <c r="H22" s="295">
        <f>Admin2!I65</f>
        <v>34308.854639999998</v>
      </c>
      <c r="I22" s="60"/>
    </row>
    <row r="23" spans="2:9" x14ac:dyDescent="0.25">
      <c r="B23" s="175" t="s">
        <v>115</v>
      </c>
      <c r="C23" s="293">
        <f>Admin2!D66</f>
        <v>325000</v>
      </c>
      <c r="D23" s="294">
        <f>Admin2!E66</f>
        <v>325000</v>
      </c>
      <c r="E23" s="294">
        <f>Admin2!F66</f>
        <v>325000</v>
      </c>
      <c r="F23" s="294">
        <f>Admin2!G66</f>
        <v>325000</v>
      </c>
      <c r="G23" s="294">
        <f>Admin2!H66</f>
        <v>325000</v>
      </c>
      <c r="H23" s="295">
        <f>Admin2!I66</f>
        <v>325000</v>
      </c>
      <c r="I23" s="60"/>
    </row>
    <row r="24" spans="2:9" x14ac:dyDescent="0.25">
      <c r="B24" s="175" t="s">
        <v>116</v>
      </c>
      <c r="C24" s="287">
        <f>Admin2!D67</f>
        <v>0</v>
      </c>
      <c r="D24" s="288">
        <f>Admin2!E67</f>
        <v>0</v>
      </c>
      <c r="E24" s="288">
        <f>Admin2!F67</f>
        <v>0</v>
      </c>
      <c r="F24" s="288">
        <f>Admin2!G67</f>
        <v>0</v>
      </c>
      <c r="G24" s="288">
        <f>Admin2!H67</f>
        <v>0</v>
      </c>
      <c r="H24" s="289">
        <f>Admin2!I67</f>
        <v>0</v>
      </c>
      <c r="I24" s="60"/>
    </row>
    <row r="25" spans="2:9" ht="15.75" x14ac:dyDescent="0.25">
      <c r="B25" s="175" t="s">
        <v>117</v>
      </c>
      <c r="C25" s="300">
        <f t="shared" ref="C25:H25" si="0">(SUMIFS(INDEX(RevIndex,0,MATCH(C$6,RevPeriod,0)),RevFundRollup,"10",RevSubSource,"1300")-SUMIFS(INDEX(RevIndex,0,MATCH(TEXT(C$6-1,"0000"),RevPeriod,0)),RevFundRollup,"10",RevSubSource,"1300"))/SUMIFS(INDEX(RevIndex,0,MATCH(TEXT(C$6-1,"0000"),RevPeriod,0)),RevFundRollup,"10",RevSubSource,"1300")</f>
        <v>-1.159943271148554E-2</v>
      </c>
      <c r="D25" s="301">
        <f t="shared" si="0"/>
        <v>1.093136942142986E-2</v>
      </c>
      <c r="E25" s="301">
        <f t="shared" si="0"/>
        <v>9.8497629989624975E-3</v>
      </c>
      <c r="F25" s="301">
        <f t="shared" si="0"/>
        <v>9.8511575340001767E-3</v>
      </c>
      <c r="G25" s="301">
        <f t="shared" si="0"/>
        <v>9.8526646105226382E-3</v>
      </c>
      <c r="H25" s="302">
        <f t="shared" si="0"/>
        <v>9.8540947979631373E-3</v>
      </c>
      <c r="I25" s="466"/>
    </row>
    <row r="26" spans="2:9" ht="15.75" x14ac:dyDescent="0.25">
      <c r="B26" s="175" t="s">
        <v>118</v>
      </c>
      <c r="C26" s="303">
        <f>'10H'!M16</f>
        <v>-5.9043095673336037E-3</v>
      </c>
      <c r="D26" s="304">
        <f>'10P'!E16</f>
        <v>7.9286861282062294E-3</v>
      </c>
      <c r="E26" s="304">
        <f>'10P'!G16</f>
        <v>1.2484162021840517E-2</v>
      </c>
      <c r="F26" s="304">
        <f>'10P'!I16</f>
        <v>1.1444262099727022E-2</v>
      </c>
      <c r="G26" s="304">
        <f>'10P'!K16</f>
        <v>1.1524162104651989E-2</v>
      </c>
      <c r="H26" s="305">
        <f>'10P'!M16</f>
        <v>1.2693271987966798E-2</v>
      </c>
      <c r="I26" s="60"/>
    </row>
    <row r="27" spans="2:9" ht="15.75" x14ac:dyDescent="0.25">
      <c r="B27" s="175" t="s">
        <v>119</v>
      </c>
      <c r="C27" s="303">
        <f>'10H'!M17</f>
        <v>-5.8046276032696223E-3</v>
      </c>
      <c r="D27" s="304">
        <f>'10P'!E17</f>
        <v>4.4927479742409328E-2</v>
      </c>
      <c r="E27" s="304">
        <f>'10P'!G17</f>
        <v>1.6948585096561056E-2</v>
      </c>
      <c r="F27" s="304">
        <f>'10P'!I17</f>
        <v>1.6268356384917599E-2</v>
      </c>
      <c r="G27" s="304">
        <f>'10P'!K17</f>
        <v>3.2021876394283812E-2</v>
      </c>
      <c r="H27" s="305">
        <f>'10P'!M17</f>
        <v>1.7328500251882772E-2</v>
      </c>
      <c r="I27" s="60"/>
    </row>
    <row r="28" spans="2:9" ht="15.75" x14ac:dyDescent="0.25">
      <c r="B28" s="175" t="s">
        <v>120</v>
      </c>
      <c r="C28" s="303">
        <f>'10H'!M18</f>
        <v>5.8552191744380609E-2</v>
      </c>
      <c r="D28" s="304">
        <f>'10P'!E18</f>
        <v>1.4782990153259181E-2</v>
      </c>
      <c r="E28" s="304">
        <f>'10P'!G18</f>
        <v>1.0418662844443156E-2</v>
      </c>
      <c r="F28" s="304">
        <f>'10P'!I18</f>
        <v>1.0270177335284096E-2</v>
      </c>
      <c r="G28" s="304">
        <f>'10P'!K18</f>
        <v>1.027440183846624E-2</v>
      </c>
      <c r="H28" s="305">
        <f>'10P'!M18</f>
        <v>1.0455507390346508E-2</v>
      </c>
      <c r="I28" s="60"/>
    </row>
    <row r="29" spans="2:9" ht="15.75" x14ac:dyDescent="0.25">
      <c r="B29" s="175" t="s">
        <v>121</v>
      </c>
      <c r="C29" s="303">
        <f>'10H'!M19</f>
        <v>2.0000082259887277E-2</v>
      </c>
      <c r="D29" s="304">
        <f>'10P'!E19</f>
        <v>3.7164930637849369E-2</v>
      </c>
      <c r="E29" s="304">
        <f>'10P'!G19</f>
        <v>1.4951739618101128E-2</v>
      </c>
      <c r="F29" s="304">
        <f>'10P'!I19</f>
        <v>1.495306278821113E-2</v>
      </c>
      <c r="G29" s="304">
        <f>'10P'!K19</f>
        <v>1.495303576362576E-2</v>
      </c>
      <c r="H29" s="305">
        <f>'10P'!M19</f>
        <v>1.4953924914143225E-2</v>
      </c>
      <c r="I29" s="60"/>
    </row>
    <row r="30" spans="2:9" ht="15.75" x14ac:dyDescent="0.25">
      <c r="B30" s="175" t="s">
        <v>122</v>
      </c>
      <c r="C30" s="306">
        <f>'10H'!M20</f>
        <v>2.0000141962441407E-2</v>
      </c>
      <c r="D30" s="307">
        <f>'10P'!E20</f>
        <v>-3.3974715843191866E-2</v>
      </c>
      <c r="E30" s="307">
        <f>'10P'!G20</f>
        <v>1.4993270557217196E-2</v>
      </c>
      <c r="F30" s="307">
        <f>'10P'!I20</f>
        <v>1.4987077046824135E-2</v>
      </c>
      <c r="G30" s="307">
        <f>'10P'!K20</f>
        <v>1.5029164457238198E-2</v>
      </c>
      <c r="H30" s="308">
        <f>'10P'!M20</f>
        <v>1.4969671431900991E-2</v>
      </c>
      <c r="I30" s="60"/>
    </row>
    <row r="31" spans="2:9" ht="15.75" x14ac:dyDescent="0.25">
      <c r="B31" s="95"/>
      <c r="C31" s="99"/>
      <c r="D31" s="100"/>
      <c r="E31" s="100"/>
      <c r="F31" s="100"/>
      <c r="G31" s="100"/>
      <c r="H31" s="101"/>
      <c r="I31" s="90"/>
    </row>
    <row r="32" spans="2:9" ht="20.25" x14ac:dyDescent="0.25">
      <c r="B32" s="95"/>
      <c r="C32" s="494" t="s">
        <v>123</v>
      </c>
      <c r="D32" s="495"/>
      <c r="E32" s="495"/>
      <c r="F32" s="495"/>
      <c r="G32" s="495"/>
      <c r="H32" s="509"/>
      <c r="I32" s="90"/>
    </row>
    <row r="33" spans="2:11" ht="15.75" x14ac:dyDescent="0.25">
      <c r="B33" s="95"/>
      <c r="C33" s="102"/>
      <c r="D33" s="103"/>
      <c r="E33" s="103"/>
      <c r="F33" s="103"/>
      <c r="G33" s="103"/>
      <c r="H33" s="104"/>
      <c r="I33" s="90"/>
    </row>
    <row r="34" spans="2:11" ht="15.75" x14ac:dyDescent="0.25">
      <c r="B34" s="95"/>
      <c r="C34" s="155"/>
      <c r="D34" s="470" t="s">
        <v>622</v>
      </c>
      <c r="E34" s="471"/>
      <c r="F34" s="471"/>
      <c r="G34" s="471"/>
      <c r="H34" s="480"/>
      <c r="I34" s="90"/>
    </row>
    <row r="35" spans="2:11" ht="15.75" x14ac:dyDescent="0.25">
      <c r="B35" s="310" t="s">
        <v>124</v>
      </c>
      <c r="C35" s="156"/>
      <c r="D35" s="150" t="str">
        <f>D6</f>
        <v>2019</v>
      </c>
      <c r="E35" s="151" t="str">
        <f t="shared" ref="E35:H35" si="1">E6</f>
        <v>2020</v>
      </c>
      <c r="F35" s="151" t="str">
        <f t="shared" si="1"/>
        <v>2021</v>
      </c>
      <c r="G35" s="151" t="str">
        <f t="shared" si="1"/>
        <v>2022</v>
      </c>
      <c r="H35" s="309" t="str">
        <f t="shared" si="1"/>
        <v>2023</v>
      </c>
      <c r="I35" s="90"/>
    </row>
    <row r="36" spans="2:11" ht="15.75" x14ac:dyDescent="0.25">
      <c r="B36" s="311" t="str">
        <f>B7</f>
        <v>BUDGET-ASSUMPTIONS (FISCAL YEAR)</v>
      </c>
      <c r="C36" s="312"/>
      <c r="D36" s="285"/>
      <c r="E36" s="285"/>
      <c r="F36" s="285"/>
      <c r="G36" s="285"/>
      <c r="H36" s="286"/>
      <c r="I36" s="90"/>
    </row>
    <row r="37" spans="2:11" ht="15.75" x14ac:dyDescent="0.25">
      <c r="B37" s="313" t="s">
        <v>575</v>
      </c>
      <c r="C37" s="312"/>
      <c r="D37" s="314">
        <f>Admin2!B351</f>
        <v>0</v>
      </c>
      <c r="E37" s="314">
        <f>Admin2!C351</f>
        <v>0</v>
      </c>
      <c r="F37" s="314">
        <f>Admin2!D351</f>
        <v>0</v>
      </c>
      <c r="G37" s="314">
        <f>Admin2!E351</f>
        <v>0</v>
      </c>
      <c r="H37" s="315">
        <f>Admin2!F351</f>
        <v>0</v>
      </c>
      <c r="I37" s="90"/>
    </row>
    <row r="38" spans="2:11" ht="15.75" x14ac:dyDescent="0.25">
      <c r="B38" s="313" t="s">
        <v>574</v>
      </c>
      <c r="C38" s="312"/>
      <c r="D38" s="314">
        <f>Admin2!B365</f>
        <v>1</v>
      </c>
      <c r="E38" s="314">
        <f>Admin2!C365</f>
        <v>2</v>
      </c>
      <c r="F38" s="314">
        <f>Admin2!D365</f>
        <v>2</v>
      </c>
      <c r="G38" s="314">
        <f>Admin2!E365</f>
        <v>2</v>
      </c>
      <c r="H38" s="315">
        <f>Admin2!F365</f>
        <v>2</v>
      </c>
      <c r="I38" s="90"/>
    </row>
    <row r="39" spans="2:11" ht="15.75" x14ac:dyDescent="0.25">
      <c r="B39" s="316" t="s">
        <v>576</v>
      </c>
      <c r="C39" s="317"/>
      <c r="D39" s="318">
        <f>Admin2!B352</f>
        <v>0</v>
      </c>
      <c r="E39" s="318">
        <f>Admin2!C352</f>
        <v>0</v>
      </c>
      <c r="F39" s="318">
        <f>Admin2!D352</f>
        <v>0</v>
      </c>
      <c r="G39" s="318">
        <f>Admin2!E352</f>
        <v>0</v>
      </c>
      <c r="H39" s="319">
        <f>Admin2!F352</f>
        <v>0</v>
      </c>
      <c r="I39" s="90"/>
      <c r="J39" s="85"/>
      <c r="K39" s="85"/>
    </row>
    <row r="40" spans="2:11" ht="15.75" x14ac:dyDescent="0.25">
      <c r="B40" s="316" t="s">
        <v>577</v>
      </c>
      <c r="C40" s="317"/>
      <c r="D40" s="318">
        <f>Admin2!B353</f>
        <v>0</v>
      </c>
      <c r="E40" s="318">
        <f>Admin2!C353</f>
        <v>0</v>
      </c>
      <c r="F40" s="318">
        <f>Admin2!D353</f>
        <v>0</v>
      </c>
      <c r="G40" s="318">
        <f>Admin2!E353</f>
        <v>0</v>
      </c>
      <c r="H40" s="319">
        <f>Admin2!F353</f>
        <v>0</v>
      </c>
      <c r="I40" s="90"/>
      <c r="J40" s="85"/>
      <c r="K40" s="85"/>
    </row>
    <row r="41" spans="2:11" ht="15.75" x14ac:dyDescent="0.25">
      <c r="B41" s="316" t="s">
        <v>578</v>
      </c>
      <c r="C41" s="317"/>
      <c r="D41" s="318">
        <f>Admin2!B354</f>
        <v>0</v>
      </c>
      <c r="E41" s="318">
        <f>Admin2!C354</f>
        <v>0</v>
      </c>
      <c r="F41" s="318">
        <f>Admin2!D354</f>
        <v>0</v>
      </c>
      <c r="G41" s="318">
        <f>Admin2!E354</f>
        <v>0</v>
      </c>
      <c r="H41" s="319">
        <f>Admin2!F354</f>
        <v>0</v>
      </c>
      <c r="I41" s="90"/>
      <c r="J41" s="85"/>
      <c r="K41" s="85"/>
    </row>
    <row r="42" spans="2:11" ht="15.75" x14ac:dyDescent="0.25">
      <c r="B42" s="316" t="s">
        <v>579</v>
      </c>
      <c r="C42" s="317"/>
      <c r="D42" s="318">
        <f>Admin2!B355</f>
        <v>0</v>
      </c>
      <c r="E42" s="318">
        <f>Admin2!C355</f>
        <v>0</v>
      </c>
      <c r="F42" s="318">
        <f>Admin2!D355</f>
        <v>0</v>
      </c>
      <c r="G42" s="318">
        <f>Admin2!E355</f>
        <v>0</v>
      </c>
      <c r="H42" s="319">
        <f>Admin2!F355</f>
        <v>0</v>
      </c>
      <c r="I42" s="90"/>
      <c r="J42" s="85"/>
      <c r="K42" s="85"/>
    </row>
    <row r="43" spans="2:11" ht="15.75" x14ac:dyDescent="0.25">
      <c r="B43" s="316" t="s">
        <v>580</v>
      </c>
      <c r="C43" s="317"/>
      <c r="D43" s="318">
        <f>Admin2!B356</f>
        <v>0</v>
      </c>
      <c r="E43" s="318">
        <f>Admin2!C356</f>
        <v>0</v>
      </c>
      <c r="F43" s="318">
        <f>Admin2!D356</f>
        <v>0</v>
      </c>
      <c r="G43" s="318">
        <f>Admin2!E356</f>
        <v>0</v>
      </c>
      <c r="H43" s="319">
        <f>Admin2!F356</f>
        <v>0</v>
      </c>
      <c r="I43" s="90"/>
      <c r="J43" s="85"/>
      <c r="K43" s="85"/>
    </row>
    <row r="44" spans="2:11" ht="15.75" x14ac:dyDescent="0.25">
      <c r="B44" s="316" t="s">
        <v>581</v>
      </c>
      <c r="C44" s="317"/>
      <c r="D44" s="318">
        <f>Admin2!B357</f>
        <v>0</v>
      </c>
      <c r="E44" s="318">
        <f>Admin2!C357</f>
        <v>0</v>
      </c>
      <c r="F44" s="318">
        <f>Admin2!D357</f>
        <v>0</v>
      </c>
      <c r="G44" s="318">
        <f>Admin2!E357</f>
        <v>0</v>
      </c>
      <c r="H44" s="319">
        <f>Admin2!F357</f>
        <v>0</v>
      </c>
      <c r="I44" s="90"/>
      <c r="J44" s="85"/>
      <c r="K44" s="85"/>
    </row>
    <row r="45" spans="2:11" ht="15.75" x14ac:dyDescent="0.25">
      <c r="B45" s="316" t="s">
        <v>582</v>
      </c>
      <c r="C45" s="317"/>
      <c r="D45" s="318">
        <f>Admin2!B358</f>
        <v>0</v>
      </c>
      <c r="E45" s="318">
        <f>Admin2!C358</f>
        <v>0</v>
      </c>
      <c r="F45" s="318">
        <f>Admin2!D358</f>
        <v>0</v>
      </c>
      <c r="G45" s="318">
        <f>Admin2!E358</f>
        <v>0</v>
      </c>
      <c r="H45" s="319">
        <f>Admin2!F358</f>
        <v>0</v>
      </c>
      <c r="I45" s="90"/>
      <c r="J45" s="85"/>
      <c r="K45" s="85"/>
    </row>
    <row r="46" spans="2:11" ht="15.75" x14ac:dyDescent="0.25">
      <c r="B46" s="316" t="s">
        <v>583</v>
      </c>
      <c r="C46" s="317"/>
      <c r="D46" s="318">
        <f>Admin2!B359</f>
        <v>0</v>
      </c>
      <c r="E46" s="318">
        <f>Admin2!C359</f>
        <v>0</v>
      </c>
      <c r="F46" s="318">
        <f>Admin2!D359</f>
        <v>0</v>
      </c>
      <c r="G46" s="318">
        <f>Admin2!E359</f>
        <v>0</v>
      </c>
      <c r="H46" s="319">
        <f>Admin2!F359</f>
        <v>0</v>
      </c>
      <c r="I46" s="90"/>
      <c r="J46" s="85"/>
      <c r="K46" s="85"/>
    </row>
    <row r="47" spans="2:11" ht="15.75" x14ac:dyDescent="0.25">
      <c r="B47" s="316" t="s">
        <v>584</v>
      </c>
      <c r="C47" s="317"/>
      <c r="D47" s="318">
        <f>Admin2!B360</f>
        <v>0</v>
      </c>
      <c r="E47" s="318">
        <f>Admin2!C360</f>
        <v>0</v>
      </c>
      <c r="F47" s="318">
        <f>Admin2!D360</f>
        <v>0</v>
      </c>
      <c r="G47" s="318">
        <f>Admin2!E360</f>
        <v>0</v>
      </c>
      <c r="H47" s="319">
        <f>Admin2!F360</f>
        <v>0</v>
      </c>
      <c r="I47" s="90"/>
      <c r="J47" s="85"/>
      <c r="K47" s="85"/>
    </row>
    <row r="48" spans="2:11" x14ac:dyDescent="0.25">
      <c r="B48" s="105"/>
      <c r="C48" s="105"/>
      <c r="D48" s="106"/>
      <c r="E48" s="106"/>
      <c r="F48" s="106"/>
      <c r="G48" s="106"/>
      <c r="H48" s="107"/>
      <c r="I48" s="90"/>
      <c r="J48" s="85"/>
      <c r="K48" s="85"/>
    </row>
    <row r="49" spans="2:11" ht="15.75" x14ac:dyDescent="0.25">
      <c r="B49" s="96"/>
      <c r="C49" s="155" t="s">
        <v>621</v>
      </c>
      <c r="D49" s="470" t="s">
        <v>622</v>
      </c>
      <c r="E49" s="471"/>
      <c r="F49" s="471"/>
      <c r="G49" s="471"/>
      <c r="H49" s="480"/>
      <c r="I49" s="90"/>
      <c r="J49" s="85"/>
      <c r="K49" s="85"/>
    </row>
    <row r="50" spans="2:11" ht="15.75" x14ac:dyDescent="0.25">
      <c r="B50" s="98"/>
      <c r="C50" s="156" t="str">
        <f>C6</f>
        <v>2018</v>
      </c>
      <c r="D50" s="150" t="str">
        <f t="shared" ref="D50:H50" si="2">D6</f>
        <v>2019</v>
      </c>
      <c r="E50" s="151" t="str">
        <f t="shared" si="2"/>
        <v>2020</v>
      </c>
      <c r="F50" s="151" t="str">
        <f t="shared" si="2"/>
        <v>2021</v>
      </c>
      <c r="G50" s="151" t="str">
        <f t="shared" si="2"/>
        <v>2022</v>
      </c>
      <c r="H50" s="309" t="str">
        <f t="shared" si="2"/>
        <v>2023</v>
      </c>
      <c r="I50" s="90"/>
    </row>
    <row r="51" spans="2:11" x14ac:dyDescent="0.25">
      <c r="B51" s="320" t="str">
        <f>B36</f>
        <v>BUDGET-ASSUMPTIONS (FISCAL YEAR)</v>
      </c>
      <c r="C51" s="321"/>
      <c r="D51" s="322"/>
      <c r="E51" s="322"/>
      <c r="F51" s="322"/>
      <c r="G51" s="322"/>
      <c r="H51" s="323"/>
      <c r="I51" s="90"/>
    </row>
    <row r="52" spans="2:11" x14ac:dyDescent="0.25">
      <c r="B52" s="324" t="s">
        <v>125</v>
      </c>
      <c r="C52" s="325">
        <f>Admin2!D90</f>
        <v>0.33</v>
      </c>
      <c r="D52" s="326">
        <f>Admin2!E90</f>
        <v>0.33</v>
      </c>
      <c r="E52" s="326">
        <f>Admin2!F90</f>
        <v>0.33</v>
      </c>
      <c r="F52" s="326">
        <f>Admin2!G90</f>
        <v>0.33</v>
      </c>
      <c r="G52" s="326">
        <f>Admin2!H90</f>
        <v>0.33</v>
      </c>
      <c r="H52" s="327">
        <f>Admin2!I90</f>
        <v>0.33</v>
      </c>
      <c r="I52" s="90"/>
    </row>
    <row r="53" spans="2:11" x14ac:dyDescent="0.25">
      <c r="B53" s="324" t="s">
        <v>126</v>
      </c>
      <c r="C53" s="325">
        <f>Admin2!D91</f>
        <v>0</v>
      </c>
      <c r="D53" s="326">
        <f>Admin2!E91</f>
        <v>0</v>
      </c>
      <c r="E53" s="326">
        <f>Admin2!F91</f>
        <v>0</v>
      </c>
      <c r="F53" s="326">
        <f>Admin2!G91</f>
        <v>0</v>
      </c>
      <c r="G53" s="326">
        <f>Admin2!H91</f>
        <v>0</v>
      </c>
      <c r="H53" s="327">
        <f>Admin2!I91</f>
        <v>0</v>
      </c>
      <c r="I53" s="90"/>
    </row>
    <row r="54" spans="2:11" x14ac:dyDescent="0.25">
      <c r="B54" s="324" t="s">
        <v>127</v>
      </c>
      <c r="C54" s="328">
        <f>Admin2!D92</f>
        <v>0</v>
      </c>
      <c r="D54" s="329">
        <f>Admin2!E92</f>
        <v>0</v>
      </c>
      <c r="E54" s="329">
        <f>Admin2!F92</f>
        <v>0</v>
      </c>
      <c r="F54" s="329">
        <f>Admin2!G92</f>
        <v>0</v>
      </c>
      <c r="G54" s="329">
        <f>Admin2!H92</f>
        <v>0</v>
      </c>
      <c r="H54" s="330">
        <f>Admin2!I92</f>
        <v>0</v>
      </c>
      <c r="I54" s="90"/>
    </row>
    <row r="55" spans="2:11" x14ac:dyDescent="0.25">
      <c r="B55" s="324" t="s">
        <v>128</v>
      </c>
      <c r="C55" s="331">
        <f>Admin2!D93</f>
        <v>100000</v>
      </c>
      <c r="D55" s="332">
        <f>Admin2!E93</f>
        <v>175000</v>
      </c>
      <c r="E55" s="332">
        <f>Admin2!F93</f>
        <v>175000</v>
      </c>
      <c r="F55" s="332">
        <f>Admin2!G93</f>
        <v>175000</v>
      </c>
      <c r="G55" s="332">
        <f>Admin2!H93</f>
        <v>175000</v>
      </c>
      <c r="H55" s="333">
        <f>Admin2!I93</f>
        <v>175000</v>
      </c>
      <c r="I55" s="90"/>
    </row>
    <row r="56" spans="2:11" ht="30" customHeight="1" x14ac:dyDescent="0.25">
      <c r="B56" s="97"/>
      <c r="C56" s="93"/>
      <c r="D56" s="93"/>
      <c r="E56" s="93"/>
      <c r="F56" s="93"/>
      <c r="G56" s="93"/>
      <c r="H56" s="93"/>
      <c r="I56" s="94"/>
    </row>
  </sheetData>
  <mergeCells count="6">
    <mergeCell ref="D5:H5"/>
    <mergeCell ref="D34:H34"/>
    <mergeCell ref="D49:H49"/>
    <mergeCell ref="C32:H32"/>
    <mergeCell ref="B2:I2"/>
    <mergeCell ref="B3:I3"/>
  </mergeCells>
  <pageMargins left="0.7" right="0.7" top="0.75" bottom="0.75" header="0.3" footer="0.3"/>
  <pageSetup scale="66" orientation="portrait" r:id="rId1"/>
  <headerFooter>
    <oddFooter>&amp;L&amp;G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1:I42"/>
  <sheetViews>
    <sheetView zoomScaleNormal="100" workbookViewId="0">
      <selection activeCell="K3" sqref="K3"/>
    </sheetView>
  </sheetViews>
  <sheetFormatPr defaultColWidth="8.85546875" defaultRowHeight="15" x14ac:dyDescent="0.25"/>
  <cols>
    <col min="1" max="1" width="8.85546875" style="108" collapsed="1"/>
    <col min="2" max="2" width="48.42578125" style="108" bestFit="1" customWidth="1" collapsed="1"/>
    <col min="3" max="8" width="15.7109375" style="108" customWidth="1" collapsed="1"/>
    <col min="9" max="9" width="7" style="108" customWidth="1" collapsed="1"/>
    <col min="10" max="16384" width="8.85546875" style="108" collapsed="1"/>
  </cols>
  <sheetData>
    <row r="1" spans="2:9" ht="69.75" customHeight="1" x14ac:dyDescent="0.25"/>
    <row r="2" spans="2:9" ht="42.6" customHeight="1" x14ac:dyDescent="0.25">
      <c r="B2" s="474" t="s">
        <v>1412</v>
      </c>
      <c r="C2" s="475"/>
      <c r="D2" s="475"/>
      <c r="E2" s="475"/>
      <c r="F2" s="475"/>
      <c r="G2" s="475"/>
      <c r="H2" s="475"/>
      <c r="I2" s="476"/>
    </row>
    <row r="3" spans="2:9" ht="30" customHeight="1" x14ac:dyDescent="0.25">
      <c r="B3" s="513" t="s">
        <v>2236</v>
      </c>
      <c r="C3" s="514"/>
      <c r="D3" s="514"/>
      <c r="E3" s="514"/>
      <c r="F3" s="514"/>
      <c r="G3" s="514"/>
      <c r="H3" s="514"/>
      <c r="I3" s="515"/>
    </row>
    <row r="4" spans="2:9" ht="30" customHeight="1" x14ac:dyDescent="0.25">
      <c r="B4" s="115"/>
      <c r="C4" s="109"/>
      <c r="D4" s="109"/>
      <c r="E4" s="109"/>
      <c r="F4" s="109"/>
      <c r="G4" s="109"/>
      <c r="H4" s="109"/>
      <c r="I4" s="116"/>
    </row>
    <row r="5" spans="2:9" ht="15.75" x14ac:dyDescent="0.25">
      <c r="B5" s="334"/>
      <c r="C5" s="155" t="s">
        <v>18</v>
      </c>
      <c r="D5" s="471" t="s">
        <v>1406</v>
      </c>
      <c r="E5" s="471"/>
      <c r="F5" s="471"/>
      <c r="G5" s="471"/>
      <c r="H5" s="480"/>
      <c r="I5" s="116"/>
    </row>
    <row r="6" spans="2:9" ht="15.75" x14ac:dyDescent="0.25">
      <c r="B6" s="335" t="s">
        <v>129</v>
      </c>
      <c r="C6" s="205" t="str">
        <f>RIGHT(Admin2!P2,4)</f>
        <v>2018</v>
      </c>
      <c r="D6" s="204" t="str">
        <f>RIGHT(Admin2!Q2,4)</f>
        <v>2019</v>
      </c>
      <c r="E6" s="204" t="str">
        <f>RIGHT(Admin2!R2,4)</f>
        <v>2020</v>
      </c>
      <c r="F6" s="204" t="str">
        <f>RIGHT(Admin2!S2,4)</f>
        <v>2021</v>
      </c>
      <c r="G6" s="204" t="str">
        <f>RIGHT(Admin2!T2,4)</f>
        <v>2022</v>
      </c>
      <c r="H6" s="206" t="str">
        <f>RIGHT(Admin2!U2,4)</f>
        <v>2023</v>
      </c>
      <c r="I6" s="117"/>
    </row>
    <row r="7" spans="2:9" x14ac:dyDescent="0.25">
      <c r="B7" s="131"/>
      <c r="C7" s="123"/>
      <c r="D7" s="110"/>
      <c r="E7" s="110"/>
      <c r="F7" s="110"/>
      <c r="G7" s="110"/>
      <c r="H7" s="124"/>
      <c r="I7" s="117"/>
    </row>
    <row r="8" spans="2:9" ht="20.25" x14ac:dyDescent="0.25">
      <c r="B8" s="131"/>
      <c r="C8" s="494" t="s">
        <v>182</v>
      </c>
      <c r="D8" s="495"/>
      <c r="E8" s="495"/>
      <c r="F8" s="495"/>
      <c r="G8" s="495"/>
      <c r="H8" s="509"/>
      <c r="I8" s="117"/>
    </row>
    <row r="9" spans="2:9" x14ac:dyDescent="0.25">
      <c r="B9" s="131"/>
      <c r="C9" s="118"/>
      <c r="D9" s="114"/>
      <c r="E9" s="114"/>
      <c r="F9" s="114"/>
      <c r="G9" s="114"/>
      <c r="H9" s="125"/>
      <c r="I9" s="117"/>
    </row>
    <row r="10" spans="2:9" x14ac:dyDescent="0.25">
      <c r="B10" s="175" t="s">
        <v>183</v>
      </c>
      <c r="C10" s="293">
        <f>'10P'!C29</f>
        <v>1028091.830000001</v>
      </c>
      <c r="D10" s="294">
        <f>'10P'!D29</f>
        <v>1515552.3200000012</v>
      </c>
      <c r="E10" s="294">
        <f>'10P'!F29</f>
        <v>1929490.6500000032</v>
      </c>
      <c r="F10" s="294">
        <f>'10P'!H29</f>
        <v>2281188.4900000039</v>
      </c>
      <c r="G10" s="294">
        <f>'10P'!J29</f>
        <v>2569840.3900000034</v>
      </c>
      <c r="H10" s="295">
        <f>'10P'!L29</f>
        <v>2852768.5800000029</v>
      </c>
      <c r="I10" s="117"/>
    </row>
    <row r="11" spans="2:9" x14ac:dyDescent="0.25">
      <c r="B11" s="175" t="s">
        <v>184</v>
      </c>
      <c r="C11" s="293">
        <f t="shared" ref="C11:H11" si="0">SUMIFS(INDEX(BalIndex,0,MATCH(C$6,BalPeriod,0)),BalFundRollup,"21")</f>
        <v>108866.35</v>
      </c>
      <c r="D11" s="294">
        <f t="shared" si="0"/>
        <v>108866.06</v>
      </c>
      <c r="E11" s="294">
        <f t="shared" si="0"/>
        <v>108865.76</v>
      </c>
      <c r="F11" s="294">
        <f t="shared" si="0"/>
        <v>108865.45</v>
      </c>
      <c r="G11" s="294">
        <f t="shared" si="0"/>
        <v>108865.15</v>
      </c>
      <c r="H11" s="295">
        <f t="shared" si="0"/>
        <v>108864.83</v>
      </c>
      <c r="I11" s="119"/>
    </row>
    <row r="12" spans="2:9" x14ac:dyDescent="0.25">
      <c r="B12" s="175" t="s">
        <v>185</v>
      </c>
      <c r="C12" s="293">
        <f t="shared" ref="C12:H12" si="1">SUMIFS(INDEX(BalIndex,0,MATCH(C$6,BalPeriod,0)),BalFundRollup,"22")</f>
        <v>492642.09</v>
      </c>
      <c r="D12" s="294">
        <f t="shared" si="1"/>
        <v>540011.31999999995</v>
      </c>
      <c r="E12" s="294">
        <f t="shared" si="1"/>
        <v>585452.25</v>
      </c>
      <c r="F12" s="294">
        <f t="shared" si="1"/>
        <v>628935.97</v>
      </c>
      <c r="G12" s="294">
        <f t="shared" si="1"/>
        <v>670433.11</v>
      </c>
      <c r="H12" s="295">
        <f t="shared" si="1"/>
        <v>709913.88</v>
      </c>
      <c r="I12" s="119"/>
    </row>
    <row r="13" spans="2:9" x14ac:dyDescent="0.25">
      <c r="B13" s="175" t="s">
        <v>186</v>
      </c>
      <c r="C13" s="293">
        <f t="shared" ref="C13:H13" si="2">SUMIFS(INDEX(BalIndex,0,MATCH(C$6,BalPeriod,0)),BalFundRollup,"36")</f>
        <v>163135.15</v>
      </c>
      <c r="D13" s="294">
        <f t="shared" si="2"/>
        <v>181512.14</v>
      </c>
      <c r="E13" s="294">
        <f t="shared" si="2"/>
        <v>201548.66</v>
      </c>
      <c r="F13" s="294">
        <f t="shared" si="2"/>
        <v>223311.09</v>
      </c>
      <c r="G13" s="294">
        <f t="shared" si="2"/>
        <v>246869.54</v>
      </c>
      <c r="H13" s="295">
        <f t="shared" si="2"/>
        <v>272292.88</v>
      </c>
      <c r="I13" s="119"/>
    </row>
    <row r="14" spans="2:9" x14ac:dyDescent="0.25">
      <c r="B14" s="175" t="s">
        <v>187</v>
      </c>
      <c r="C14" s="293">
        <f t="shared" ref="C14:H14" si="3">SUMIFS(INDEX(BalIndex,0,MATCH(C$6,BalPeriod,0)),BalFundRollup,"30")</f>
        <v>10303848.07</v>
      </c>
      <c r="D14" s="294">
        <f t="shared" si="3"/>
        <v>20461248.039999999</v>
      </c>
      <c r="E14" s="294">
        <f t="shared" si="3"/>
        <v>30771009</v>
      </c>
      <c r="F14" s="294">
        <f t="shared" si="3"/>
        <v>41235416.390000001</v>
      </c>
      <c r="G14" s="294">
        <f t="shared" si="3"/>
        <v>51856789.880000003</v>
      </c>
      <c r="H14" s="295">
        <f t="shared" si="3"/>
        <v>62637483.980000004</v>
      </c>
      <c r="I14" s="119"/>
    </row>
    <row r="15" spans="2:9" x14ac:dyDescent="0.25">
      <c r="B15" s="175" t="s">
        <v>188</v>
      </c>
      <c r="C15" s="293">
        <f t="shared" ref="C15:H15" si="4">SUMIFS(INDEX(BalIndex,0,MATCH(C$6,BalPeriod,0)),BalFundRollup,"40")</f>
        <v>418798.36</v>
      </c>
      <c r="D15" s="294">
        <f t="shared" si="4"/>
        <v>397746.23</v>
      </c>
      <c r="E15" s="294">
        <f t="shared" si="4"/>
        <v>376247.86</v>
      </c>
      <c r="F15" s="294">
        <f t="shared" si="4"/>
        <v>354696.56</v>
      </c>
      <c r="G15" s="294">
        <f t="shared" si="4"/>
        <v>332558.64</v>
      </c>
      <c r="H15" s="295">
        <f t="shared" si="4"/>
        <v>310190.43</v>
      </c>
      <c r="I15" s="119"/>
    </row>
    <row r="16" spans="2:9" x14ac:dyDescent="0.25">
      <c r="B16" s="175" t="s">
        <v>189</v>
      </c>
      <c r="C16" s="336">
        <f t="shared" ref="C16:H16" si="5">SUMIFS(INDEX(BalIndex,0,MATCH(C$6,BalPeriod,0)),BalFundRollup,"61")</f>
        <v>-44508.08</v>
      </c>
      <c r="D16" s="337">
        <f t="shared" si="5"/>
        <v>-65954.53</v>
      </c>
      <c r="E16" s="337">
        <f t="shared" si="5"/>
        <v>-87722.68</v>
      </c>
      <c r="F16" s="337">
        <f t="shared" si="5"/>
        <v>-109817.35</v>
      </c>
      <c r="G16" s="337">
        <f t="shared" si="5"/>
        <v>-132243.45000000001</v>
      </c>
      <c r="H16" s="338">
        <f t="shared" si="5"/>
        <v>-155005.93</v>
      </c>
      <c r="I16" s="117"/>
    </row>
    <row r="17" spans="2:9" x14ac:dyDescent="0.25">
      <c r="B17" s="131"/>
      <c r="C17" s="126"/>
      <c r="D17" s="111"/>
      <c r="E17" s="111"/>
      <c r="F17" s="111"/>
      <c r="G17" s="111"/>
      <c r="H17" s="119"/>
      <c r="I17" s="117"/>
    </row>
    <row r="18" spans="2:9" ht="20.25" x14ac:dyDescent="0.25">
      <c r="B18" s="131"/>
      <c r="C18" s="494" t="s">
        <v>130</v>
      </c>
      <c r="D18" s="495"/>
      <c r="E18" s="495"/>
      <c r="F18" s="495"/>
      <c r="G18" s="495"/>
      <c r="H18" s="509"/>
      <c r="I18" s="117"/>
    </row>
    <row r="19" spans="2:9" x14ac:dyDescent="0.25">
      <c r="B19" s="131"/>
      <c r="C19" s="118"/>
      <c r="D19" s="114"/>
      <c r="E19" s="114"/>
      <c r="F19" s="114"/>
      <c r="G19" s="114"/>
      <c r="H19" s="125"/>
      <c r="I19" s="117"/>
    </row>
    <row r="20" spans="2:9" x14ac:dyDescent="0.25">
      <c r="B20" s="175" t="s">
        <v>131</v>
      </c>
      <c r="C20" s="339">
        <f>Admin2!D109</f>
        <v>10.63008</v>
      </c>
      <c r="D20" s="340">
        <f>Admin2!E109</f>
        <v>10.8139</v>
      </c>
      <c r="E20" s="340">
        <f>Admin2!F109</f>
        <v>10.852309999999999</v>
      </c>
      <c r="F20" s="340">
        <f>Admin2!G109</f>
        <v>10.92817</v>
      </c>
      <c r="G20" s="340">
        <f>Admin2!H109</f>
        <v>10.95269</v>
      </c>
      <c r="H20" s="341">
        <f>Admin2!I109</f>
        <v>11.010060000000001</v>
      </c>
      <c r="I20" s="117"/>
    </row>
    <row r="21" spans="2:9" x14ac:dyDescent="0.25">
      <c r="B21" s="175" t="s">
        <v>132</v>
      </c>
      <c r="C21" s="339">
        <f>Admin2!D110</f>
        <v>0.37029683901842975</v>
      </c>
      <c r="D21" s="340">
        <f>Admin2!E110</f>
        <v>0.62914511585496991</v>
      </c>
      <c r="E21" s="340">
        <f>Admin2!F110</f>
        <v>0.61082050016914491</v>
      </c>
      <c r="F21" s="340">
        <f>Admin2!G110</f>
        <v>0.59302961261855325</v>
      </c>
      <c r="G21" s="340">
        <f>Admin2!H110</f>
        <v>0.57575690598529961</v>
      </c>
      <c r="H21" s="341">
        <f>Admin2!I110</f>
        <v>0.55898728675729037</v>
      </c>
      <c r="I21" s="117"/>
    </row>
    <row r="22" spans="2:9" x14ac:dyDescent="0.25">
      <c r="B22" s="175" t="s">
        <v>133</v>
      </c>
      <c r="C22" s="339">
        <f>Admin2!D111</f>
        <v>0.33</v>
      </c>
      <c r="D22" s="340">
        <f>Admin2!E111</f>
        <v>0.33</v>
      </c>
      <c r="E22" s="340">
        <f>Admin2!F111</f>
        <v>0.33</v>
      </c>
      <c r="F22" s="340">
        <f>Admin2!G111</f>
        <v>0.33</v>
      </c>
      <c r="G22" s="340">
        <f>Admin2!H111</f>
        <v>0.33</v>
      </c>
      <c r="H22" s="341">
        <f>Admin2!I111</f>
        <v>0.33</v>
      </c>
      <c r="I22" s="117"/>
    </row>
    <row r="23" spans="2:9" x14ac:dyDescent="0.25">
      <c r="B23" s="175" t="s">
        <v>166</v>
      </c>
      <c r="C23" s="339">
        <f>Admin2!D112</f>
        <v>0</v>
      </c>
      <c r="D23" s="340">
        <f>Admin2!E112</f>
        <v>0</v>
      </c>
      <c r="E23" s="340">
        <f>Admin2!F112</f>
        <v>0</v>
      </c>
      <c r="F23" s="340">
        <f>Admin2!G112</f>
        <v>0</v>
      </c>
      <c r="G23" s="340">
        <f>Admin2!H112</f>
        <v>0</v>
      </c>
      <c r="H23" s="341">
        <f>Admin2!I112</f>
        <v>0</v>
      </c>
      <c r="I23" s="117"/>
    </row>
    <row r="24" spans="2:9" x14ac:dyDescent="0.25">
      <c r="B24" s="175" t="s">
        <v>134</v>
      </c>
      <c r="C24" s="339">
        <f>Admin2!D113</f>
        <v>0</v>
      </c>
      <c r="D24" s="340">
        <f>Admin2!E113</f>
        <v>0</v>
      </c>
      <c r="E24" s="340">
        <f>Admin2!F113</f>
        <v>0</v>
      </c>
      <c r="F24" s="340">
        <f>Admin2!G113</f>
        <v>0</v>
      </c>
      <c r="G24" s="340">
        <f>Admin2!H113</f>
        <v>0</v>
      </c>
      <c r="H24" s="341">
        <f>Admin2!I113</f>
        <v>0</v>
      </c>
      <c r="I24" s="117"/>
    </row>
    <row r="25" spans="2:9" x14ac:dyDescent="0.25">
      <c r="B25" s="175" t="s">
        <v>135</v>
      </c>
      <c r="C25" s="339">
        <f>Admin2!D114</f>
        <v>0</v>
      </c>
      <c r="D25" s="340">
        <f>Admin2!E114</f>
        <v>0</v>
      </c>
      <c r="E25" s="340">
        <f>Admin2!F114</f>
        <v>0</v>
      </c>
      <c r="F25" s="340">
        <f>Admin2!G114</f>
        <v>0</v>
      </c>
      <c r="G25" s="340">
        <f>Admin2!H114</f>
        <v>0</v>
      </c>
      <c r="H25" s="341">
        <f>Admin2!I114</f>
        <v>0</v>
      </c>
      <c r="I25" s="117"/>
    </row>
    <row r="26" spans="2:9" x14ac:dyDescent="0.25">
      <c r="B26" s="175" t="s">
        <v>136</v>
      </c>
      <c r="C26" s="339">
        <f>Admin2!D115</f>
        <v>0</v>
      </c>
      <c r="D26" s="340">
        <f>Admin2!E115</f>
        <v>2.2469468423391783</v>
      </c>
      <c r="E26" s="340">
        <f>Admin2!F115</f>
        <v>2.2268770234737967</v>
      </c>
      <c r="F26" s="340">
        <f>Admin2!G115</f>
        <v>2.1687940118621376</v>
      </c>
      <c r="G26" s="340">
        <f>Admin2!H115</f>
        <v>2.1615559270419538</v>
      </c>
      <c r="H26" s="341">
        <f>Admin2!I115</f>
        <v>2.1209574766105188</v>
      </c>
      <c r="I26" s="117"/>
    </row>
    <row r="27" spans="2:9" x14ac:dyDescent="0.25">
      <c r="B27" s="175" t="s">
        <v>137</v>
      </c>
      <c r="C27" s="342">
        <f>Admin2!D116</f>
        <v>11.330376839018429</v>
      </c>
      <c r="D27" s="343">
        <f>Admin2!E116</f>
        <v>14.019991958194147</v>
      </c>
      <c r="E27" s="343">
        <f>Admin2!F116</f>
        <v>14.020007523642942</v>
      </c>
      <c r="F27" s="343">
        <f>Admin2!G116</f>
        <v>14.019993624480691</v>
      </c>
      <c r="G27" s="343">
        <f>Admin2!H116</f>
        <v>14.020002833027254</v>
      </c>
      <c r="H27" s="344">
        <f>Admin2!I116</f>
        <v>14.02000476336781</v>
      </c>
      <c r="I27" s="117"/>
    </row>
    <row r="28" spans="2:9" x14ac:dyDescent="0.25">
      <c r="B28" s="131"/>
      <c r="C28" s="127"/>
      <c r="D28" s="112"/>
      <c r="E28" s="112"/>
      <c r="F28" s="112"/>
      <c r="G28" s="112"/>
      <c r="H28" s="128"/>
      <c r="I28" s="117"/>
    </row>
    <row r="29" spans="2:9" ht="20.25" x14ac:dyDescent="0.25">
      <c r="B29" s="131"/>
      <c r="C29" s="494" t="s">
        <v>138</v>
      </c>
      <c r="D29" s="495"/>
      <c r="E29" s="495"/>
      <c r="F29" s="495"/>
      <c r="G29" s="495"/>
      <c r="H29" s="509"/>
      <c r="I29" s="117"/>
    </row>
    <row r="30" spans="2:9" x14ac:dyDescent="0.25">
      <c r="B30" s="131"/>
      <c r="C30" s="118"/>
      <c r="D30" s="114"/>
      <c r="E30" s="114"/>
      <c r="F30" s="114"/>
      <c r="G30" s="114"/>
      <c r="H30" s="125"/>
      <c r="I30" s="117"/>
    </row>
    <row r="31" spans="2:9" x14ac:dyDescent="0.25">
      <c r="B31" s="175" t="s">
        <v>139</v>
      </c>
      <c r="C31" s="290">
        <f>Admin2!D119</f>
        <v>0.09</v>
      </c>
      <c r="D31" s="291">
        <f>Admin2!E119</f>
        <v>0.09</v>
      </c>
      <c r="E31" s="291">
        <f>Admin2!F119</f>
        <v>0.09</v>
      </c>
      <c r="F31" s="291">
        <f>Admin2!G119</f>
        <v>0.09</v>
      </c>
      <c r="G31" s="291">
        <f>Admin2!H119</f>
        <v>0.09</v>
      </c>
      <c r="H31" s="292">
        <f>Admin2!I119</f>
        <v>0.09</v>
      </c>
      <c r="I31" s="117"/>
    </row>
    <row r="32" spans="2:9" x14ac:dyDescent="0.25">
      <c r="B32" s="175" t="s">
        <v>140</v>
      </c>
      <c r="C32" s="290">
        <f>Admin2!D120</f>
        <v>0</v>
      </c>
      <c r="D32" s="291">
        <f>Admin2!E120</f>
        <v>0</v>
      </c>
      <c r="E32" s="291">
        <f>Admin2!F120</f>
        <v>0</v>
      </c>
      <c r="F32" s="291">
        <f>Admin2!G120</f>
        <v>0</v>
      </c>
      <c r="G32" s="291">
        <f>Admin2!H120</f>
        <v>0</v>
      </c>
      <c r="H32" s="292">
        <f>Admin2!I120</f>
        <v>0</v>
      </c>
      <c r="I32" s="117"/>
    </row>
    <row r="33" spans="2:9" x14ac:dyDescent="0.25">
      <c r="B33" s="175" t="s">
        <v>141</v>
      </c>
      <c r="C33" s="345">
        <f t="shared" ref="C33:H33" si="6">C31+C32</f>
        <v>0.09</v>
      </c>
      <c r="D33" s="346">
        <f t="shared" si="6"/>
        <v>0.09</v>
      </c>
      <c r="E33" s="346">
        <f t="shared" si="6"/>
        <v>0.09</v>
      </c>
      <c r="F33" s="346">
        <f t="shared" si="6"/>
        <v>0.09</v>
      </c>
      <c r="G33" s="346">
        <f t="shared" si="6"/>
        <v>0.09</v>
      </c>
      <c r="H33" s="347">
        <f t="shared" si="6"/>
        <v>0.09</v>
      </c>
      <c r="I33" s="117"/>
    </row>
    <row r="34" spans="2:9" x14ac:dyDescent="0.25">
      <c r="B34" s="131"/>
      <c r="C34" s="129"/>
      <c r="D34" s="113"/>
      <c r="E34" s="113"/>
      <c r="F34" s="113"/>
      <c r="G34" s="113"/>
      <c r="H34" s="130"/>
      <c r="I34" s="117"/>
    </row>
    <row r="35" spans="2:9" ht="20.25" x14ac:dyDescent="0.25">
      <c r="B35" s="131"/>
      <c r="C35" s="494" t="s">
        <v>142</v>
      </c>
      <c r="D35" s="495"/>
      <c r="E35" s="495"/>
      <c r="F35" s="495"/>
      <c r="G35" s="495"/>
      <c r="H35" s="509"/>
      <c r="I35" s="117"/>
    </row>
    <row r="36" spans="2:9" x14ac:dyDescent="0.25">
      <c r="B36" s="131"/>
      <c r="C36" s="118"/>
      <c r="D36" s="114"/>
      <c r="E36" s="114"/>
      <c r="F36" s="114"/>
      <c r="G36" s="114"/>
      <c r="H36" s="125"/>
      <c r="I36" s="117"/>
    </row>
    <row r="37" spans="2:9" x14ac:dyDescent="0.25">
      <c r="B37" s="175" t="s">
        <v>142</v>
      </c>
      <c r="C37" s="348">
        <f>UAB!I39</f>
        <v>1469932.8600000013</v>
      </c>
      <c r="D37" s="349">
        <f>UAB!J39</f>
        <v>1663028.4820000008</v>
      </c>
      <c r="E37" s="349">
        <f>UAB!K39</f>
        <v>1753592.3166400027</v>
      </c>
      <c r="F37" s="349">
        <f>UAB!L39</f>
        <v>1706165.9412800018</v>
      </c>
      <c r="G37" s="349">
        <f>UAB!M39</f>
        <v>1495457.5159199992</v>
      </c>
      <c r="H37" s="350">
        <f>UAB!N39</f>
        <v>1172152.8605599971</v>
      </c>
      <c r="I37" s="117"/>
    </row>
    <row r="38" spans="2:9" x14ac:dyDescent="0.25">
      <c r="B38" s="175" t="s">
        <v>143</v>
      </c>
      <c r="C38" s="348">
        <f>UAB!I39-UAB!H39</f>
        <v>314660.58000000007</v>
      </c>
      <c r="D38" s="349">
        <f>UAB!J39-UAB!I39</f>
        <v>193095.62199999951</v>
      </c>
      <c r="E38" s="349">
        <f>UAB!K39-UAB!J39</f>
        <v>90563.834640001878</v>
      </c>
      <c r="F38" s="349">
        <f>UAB!L39-UAB!K39</f>
        <v>-47426.375360000879</v>
      </c>
      <c r="G38" s="349">
        <f>UAB!M39-UAB!L39</f>
        <v>-210708.42536000255</v>
      </c>
      <c r="H38" s="350">
        <f>UAB!N39-UAB!M39</f>
        <v>-323304.65536000207</v>
      </c>
      <c r="I38" s="117"/>
    </row>
    <row r="39" spans="2:9" x14ac:dyDescent="0.25">
      <c r="B39" s="175" t="s">
        <v>144</v>
      </c>
      <c r="C39" s="351">
        <f>C37/UAB!I37</f>
        <v>0.19087124844221506</v>
      </c>
      <c r="D39" s="352">
        <f>D37/UAB!J37</f>
        <v>0.20750932510846445</v>
      </c>
      <c r="E39" s="352">
        <f>E37/UAB!K37</f>
        <v>0.21429124147655124</v>
      </c>
      <c r="F39" s="352">
        <f>F37/UAB!L37</f>
        <v>0.20780796401736895</v>
      </c>
      <c r="G39" s="352">
        <f>G37/UAB!M37</f>
        <v>0.18479540128318508</v>
      </c>
      <c r="H39" s="353">
        <f>H37/UAB!N37</f>
        <v>0.14925355431627282</v>
      </c>
      <c r="I39" s="117"/>
    </row>
    <row r="40" spans="2:9" x14ac:dyDescent="0.25">
      <c r="B40" s="175" t="s">
        <v>1838</v>
      </c>
      <c r="C40" s="354">
        <f>UAB!I37-UAB!I36</f>
        <v>6545902.580000001</v>
      </c>
      <c r="D40" s="355">
        <f>UAB!J37-UAB!J36</f>
        <v>6544302.0719999997</v>
      </c>
      <c r="E40" s="355">
        <f>UAB!K37-UAB!K36</f>
        <v>6520191.2546400009</v>
      </c>
      <c r="F40" s="355">
        <f>UAB!L37-UAB!L36</f>
        <v>6456708.714639999</v>
      </c>
      <c r="G40" s="355">
        <f>UAB!M37-UAB!M36</f>
        <v>6386338.0146399988</v>
      </c>
      <c r="H40" s="356">
        <f>UAB!N37-UAB!N36</f>
        <v>6357975.964639998</v>
      </c>
      <c r="I40" s="117"/>
    </row>
    <row r="41" spans="2:9" x14ac:dyDescent="0.25">
      <c r="B41" s="175" t="s">
        <v>145</v>
      </c>
      <c r="C41" s="357">
        <f>UAB!I38/C40</f>
        <v>0.95193014620147309</v>
      </c>
      <c r="D41" s="358">
        <f>UAB!J38/D40</f>
        <v>0.97049408479688537</v>
      </c>
      <c r="E41" s="358">
        <f>UAB!K38/E40</f>
        <v>0.98611024874837017</v>
      </c>
      <c r="F41" s="358">
        <f>UAB!L38/F40</f>
        <v>1.0073452865006076</v>
      </c>
      <c r="G41" s="358">
        <f>UAB!M38/G40</f>
        <v>1.0329936224604737</v>
      </c>
      <c r="H41" s="359">
        <f>UAB!N38/H40</f>
        <v>1.0508502481226836</v>
      </c>
      <c r="I41" s="117"/>
    </row>
    <row r="42" spans="2:9" ht="30" customHeight="1" x14ac:dyDescent="0.25">
      <c r="B42" s="120"/>
      <c r="C42" s="121"/>
      <c r="D42" s="121"/>
      <c r="E42" s="121"/>
      <c r="F42" s="121"/>
      <c r="G42" s="121"/>
      <c r="H42" s="121"/>
      <c r="I42" s="122"/>
    </row>
  </sheetData>
  <mergeCells count="7">
    <mergeCell ref="B2:I2"/>
    <mergeCell ref="C35:H35"/>
    <mergeCell ref="C29:H29"/>
    <mergeCell ref="C18:H18"/>
    <mergeCell ref="C8:H8"/>
    <mergeCell ref="D5:H5"/>
    <mergeCell ref="B3:I3"/>
  </mergeCells>
  <pageMargins left="0.7" right="0.7" top="0.75" bottom="0.75" header="0.3" footer="0.3"/>
  <pageSetup scale="68" orientation="portrait" r:id="rId1"/>
  <headerFooter>
    <oddFooter>&amp;L&amp;G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N47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1" max="1" width="17.28515625" style="55" customWidth="1" collapsed="1"/>
    <col min="2" max="2" width="30.5703125" style="55" customWidth="1" collapsed="1"/>
    <col min="3" max="6" width="17.28515625" style="55" customWidth="1" collapsed="1"/>
    <col min="7" max="8" width="17.28515625" style="55" bestFit="1" customWidth="1" collapsed="1"/>
    <col min="9" max="9" width="15.7109375" style="55" bestFit="1" customWidth="1" collapsed="1"/>
    <col min="10" max="11" width="14" style="55" customWidth="1" collapsed="1"/>
    <col min="12" max="12" width="14.7109375" style="55" bestFit="1" customWidth="1" collapsed="1"/>
    <col min="13" max="13" width="15.7109375" style="55" bestFit="1" customWidth="1" collapsed="1"/>
    <col min="14" max="14" width="7" style="55" customWidth="1" collapsed="1"/>
    <col min="15" max="15" width="5.42578125" style="55" customWidth="1" collapsed="1"/>
    <col min="16" max="16384" width="8.85546875" style="55" collapsed="1"/>
  </cols>
  <sheetData>
    <row r="1" spans="2:14" ht="69.75" customHeight="1" x14ac:dyDescent="0.25">
      <c r="B1" s="132" t="s">
        <v>560</v>
      </c>
    </row>
    <row r="2" spans="2:14" ht="42.6" customHeight="1" x14ac:dyDescent="0.25">
      <c r="B2" s="474" t="s">
        <v>1415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2:14" ht="30" customHeight="1" x14ac:dyDescent="0.25">
      <c r="B3" s="477" t="s">
        <v>2236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9"/>
    </row>
    <row r="4" spans="2:14" ht="30" customHeight="1" x14ac:dyDescent="0.25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2:14" ht="14.45" customHeight="1" x14ac:dyDescent="0.25">
      <c r="B5" s="360"/>
      <c r="C5" s="470" t="s">
        <v>1413</v>
      </c>
      <c r="D5" s="471"/>
      <c r="E5" s="471"/>
      <c r="F5" s="471"/>
      <c r="G5" s="471"/>
      <c r="H5" s="361" t="s">
        <v>18</v>
      </c>
      <c r="I5" s="471" t="s">
        <v>1414</v>
      </c>
      <c r="J5" s="471"/>
      <c r="K5" s="471"/>
      <c r="L5" s="471"/>
      <c r="M5" s="480"/>
      <c r="N5" s="137"/>
    </row>
    <row r="6" spans="2:14" ht="14.45" customHeight="1" x14ac:dyDescent="0.25">
      <c r="B6" s="362" t="s">
        <v>124</v>
      </c>
      <c r="C6" s="363" t="s">
        <v>148</v>
      </c>
      <c r="D6" s="204" t="s">
        <v>149</v>
      </c>
      <c r="E6" s="204" t="s">
        <v>150</v>
      </c>
      <c r="F6" s="204" t="s">
        <v>151</v>
      </c>
      <c r="G6" s="204" t="s">
        <v>152</v>
      </c>
      <c r="H6" s="364" t="s">
        <v>153</v>
      </c>
      <c r="I6" s="204" t="s">
        <v>154</v>
      </c>
      <c r="J6" s="204" t="s">
        <v>155</v>
      </c>
      <c r="K6" s="204" t="s">
        <v>156</v>
      </c>
      <c r="L6" s="204" t="s">
        <v>559</v>
      </c>
      <c r="M6" s="206" t="s">
        <v>1831</v>
      </c>
      <c r="N6" s="117"/>
    </row>
    <row r="7" spans="2:14" ht="14.45" customHeight="1" x14ac:dyDescent="0.25">
      <c r="B7" s="362"/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8"/>
      <c r="N7" s="117"/>
    </row>
    <row r="8" spans="2:14" ht="15" customHeight="1" x14ac:dyDescent="0.25">
      <c r="B8" s="335" t="s">
        <v>1429</v>
      </c>
      <c r="C8" s="365">
        <f>VLOOKUP('Scenario Assumptions'!$C$6,'Solvency Historical Data'!$A$3:$AF$341,24,FALSE)+VLOOKUP('Scenario Assumptions'!$C$6,'Solvency Historical Data'!$A$3:$AF$341,23,FALSE)</f>
        <v>2037820.46</v>
      </c>
      <c r="D8" s="366">
        <f>VLOOKUP('Scenario Assumptions'!$C$6,'Solvency Historical Data'!$A$3:$AF$341,29,FALSE)+VLOOKUP('Scenario Assumptions'!$C$6,'Solvency Historical Data'!$A$3:$AF$341,28,FALSE)</f>
        <v>1265230.3700000001</v>
      </c>
      <c r="E8" s="366">
        <f>VLOOKUP('Scenario Assumptions'!$C$6,'Solvency Historical Data'!$BG$4:$BJ$336,3,FALSE)+VLOOKUP('Scenario Assumptions'!$C$6,'Solvency Historical Data'!$BG$4:$BJ$336,4,FALSE)</f>
        <v>802586.57</v>
      </c>
      <c r="F8" s="366">
        <f>Admin2!C307*1</f>
        <v>404153</v>
      </c>
      <c r="G8" s="366">
        <f>Admin2!D307*1</f>
        <v>307220</v>
      </c>
      <c r="H8" s="366">
        <f>G8+(H9-H10)</f>
        <v>824771.58000000101</v>
      </c>
      <c r="I8" s="366">
        <f t="shared" ref="I8:L8" si="0">H8+(I9-I10)</f>
        <v>1312232.0700000012</v>
      </c>
      <c r="J8" s="366">
        <f t="shared" si="0"/>
        <v>1726170.4000000032</v>
      </c>
      <c r="K8" s="366">
        <f t="shared" si="0"/>
        <v>2077868.2400000039</v>
      </c>
      <c r="L8" s="366">
        <f t="shared" si="0"/>
        <v>2366520.1400000034</v>
      </c>
      <c r="M8" s="367">
        <f>L8+(M9-M10)</f>
        <v>2649448.3300000029</v>
      </c>
      <c r="N8" s="117"/>
    </row>
    <row r="9" spans="2:14" ht="15" customHeight="1" x14ac:dyDescent="0.25">
      <c r="B9" s="335" t="s">
        <v>159</v>
      </c>
      <c r="C9" s="365">
        <f>VLOOKUP('Scenario Assumptions'!$C$6,'Solvency Historical Data'!$A$3:$AF$341,25,FALSE)</f>
        <v>5714641.2300000004</v>
      </c>
      <c r="D9" s="366">
        <f>VLOOKUP('Scenario Assumptions'!$C$6,'Solvency Historical Data'!$A$3:$AF$341,30,FALSE)</f>
        <v>6066086.1900000004</v>
      </c>
      <c r="E9" s="366">
        <f>'10H'!F13</f>
        <v>5989104.5</v>
      </c>
      <c r="F9" s="366">
        <f>'10H'!H13</f>
        <v>6149425.1099999994</v>
      </c>
      <c r="G9" s="366">
        <f>'10H'!J13</f>
        <v>6182385.3799999999</v>
      </c>
      <c r="H9" s="366">
        <f>'10H'!L13</f>
        <v>6748793.580000001</v>
      </c>
      <c r="I9" s="366">
        <f>'10P'!D13</f>
        <v>6838666.9400000004</v>
      </c>
      <c r="J9" s="366">
        <f>'10P'!F13</f>
        <v>6843565.7500000009</v>
      </c>
      <c r="K9" s="366">
        <f>'10P'!H13</f>
        <v>6855832.9300000006</v>
      </c>
      <c r="L9" s="366">
        <f>'10P'!J13</f>
        <v>6885698.3399999999</v>
      </c>
      <c r="M9" s="367">
        <f>'10P'!L13</f>
        <v>6964208.8099999996</v>
      </c>
      <c r="N9" s="117"/>
    </row>
    <row r="10" spans="2:14" ht="15" customHeight="1" x14ac:dyDescent="0.25">
      <c r="B10" s="335" t="s">
        <v>175</v>
      </c>
      <c r="C10" s="365">
        <f>VLOOKUP('Scenario Assumptions'!$C$6,'Solvency Historical Data'!$A$3:$AF$341,26,FALSE)</f>
        <v>6160506.46</v>
      </c>
      <c r="D10" s="366">
        <f>VLOOKUP('Scenario Assumptions'!$C$6,'Solvency Historical Data'!$A$3:$AF$341,31,FALSE)</f>
        <v>6790872.1800000006</v>
      </c>
      <c r="E10" s="366">
        <f>'10H'!F23</f>
        <v>6397856.4300000006</v>
      </c>
      <c r="F10" s="366">
        <f>'10H'!H23</f>
        <v>6647447.6200000001</v>
      </c>
      <c r="G10" s="366">
        <f>'10H'!J23</f>
        <v>6233661.7600000016</v>
      </c>
      <c r="H10" s="366">
        <f>'10H'!L23</f>
        <v>6231242</v>
      </c>
      <c r="I10" s="366">
        <f>'10P'!D23</f>
        <v>6351206.4500000002</v>
      </c>
      <c r="J10" s="366">
        <f>'10P'!F23</f>
        <v>6429627.419999999</v>
      </c>
      <c r="K10" s="366">
        <f>'10P'!H23</f>
        <v>6504135.0899999999</v>
      </c>
      <c r="L10" s="366">
        <f>'10P'!J23</f>
        <v>6597046.4400000004</v>
      </c>
      <c r="M10" s="367">
        <f>'10P'!L23</f>
        <v>6681280.6200000001</v>
      </c>
      <c r="N10" s="117"/>
    </row>
    <row r="11" spans="2:14" ht="15" customHeight="1" x14ac:dyDescent="0.25">
      <c r="B11" s="335" t="s">
        <v>160</v>
      </c>
      <c r="C11" s="365">
        <f>VLOOKUP('Scenario Assumptions'!$C$6,'Solvency Historical Data'!$A$3:$AF$341,27,FALSE)</f>
        <v>224362</v>
      </c>
      <c r="D11" s="366">
        <f>VLOOKUP('Scenario Assumptions'!$C$6,'Solvency Historical Data'!$A$3:$AF$341,32,FALSE)</f>
        <v>234294</v>
      </c>
      <c r="E11" s="366">
        <f>Admin2!E180</f>
        <v>234707</v>
      </c>
      <c r="F11" s="366">
        <f>Admin2!F180</f>
        <v>232364</v>
      </c>
      <c r="G11" s="366">
        <f>Admin2!G180</f>
        <v>225582</v>
      </c>
      <c r="H11" s="366">
        <f>Admin2!H180</f>
        <v>230311</v>
      </c>
      <c r="I11" s="366">
        <f>Admin2!I180</f>
        <v>250280</v>
      </c>
      <c r="J11" s="366">
        <f>Admin2!J180</f>
        <v>248953</v>
      </c>
      <c r="K11" s="366">
        <f>Admin2!K180</f>
        <v>247443</v>
      </c>
      <c r="L11" s="366">
        <f>Admin2!L180</f>
        <v>246496</v>
      </c>
      <c r="M11" s="367">
        <f>Admin2!M180</f>
        <v>246316</v>
      </c>
      <c r="N11" s="117"/>
    </row>
    <row r="12" spans="2:14" x14ac:dyDescent="0.25">
      <c r="B12" s="368" t="s">
        <v>161</v>
      </c>
      <c r="C12" s="369">
        <f>IF(C9-C11=0,0,C8/(C9-C11))</f>
        <v>0.3711688194044731</v>
      </c>
      <c r="D12" s="370">
        <f>IF(D9-D11=0,0,D8/(D9-D11))</f>
        <v>0.21695395322376876</v>
      </c>
      <c r="E12" s="370">
        <f t="shared" ref="E12:M12" si="1">IF(E9-E11=0,0,E8/(E9-E11))</f>
        <v>0.13947360605519518</v>
      </c>
      <c r="F12" s="370">
        <f t="shared" si="1"/>
        <v>6.830299577554981E-2</v>
      </c>
      <c r="G12" s="370">
        <f t="shared" si="1"/>
        <v>5.1574641699857482E-2</v>
      </c>
      <c r="H12" s="370">
        <f t="shared" si="1"/>
        <v>0.12652815588256139</v>
      </c>
      <c r="I12" s="370">
        <f t="shared" si="1"/>
        <v>0.19917349754202524</v>
      </c>
      <c r="J12" s="370">
        <f t="shared" si="1"/>
        <v>0.26175462691118639</v>
      </c>
      <c r="K12" s="370">
        <f t="shared" si="1"/>
        <v>0.31442881882122892</v>
      </c>
      <c r="L12" s="370">
        <f t="shared" si="1"/>
        <v>0.3564464552830609</v>
      </c>
      <c r="M12" s="371">
        <f t="shared" si="1"/>
        <v>0.39438681219446298</v>
      </c>
      <c r="N12" s="117"/>
    </row>
    <row r="13" spans="2:14" ht="30" x14ac:dyDescent="0.25">
      <c r="B13" s="368" t="s">
        <v>176</v>
      </c>
      <c r="C13" s="372">
        <f>IF(('Solvency Historical Data'!AM4+'Solvency Historical Data'!AN4)&gt;('Solvency Historical Data'!AP4*0.2),0,('Solvency Historical Data'!AP4*0.2)-('Solvency Historical Data'!AM4+'Solvency Historical Data'!AN4))</f>
        <v>0</v>
      </c>
      <c r="D13" s="373">
        <f>IF(('Solvency Historical Data'!AR4+'Solvency Historical Data'!AS4)&gt;('Solvency Historical Data'!AU4*0.2),0,('Solvency Historical Data'!AU4*0.2)-('Solvency Historical Data'!AR4+'Solvency Historical Data'!AS4))</f>
        <v>0</v>
      </c>
      <c r="E13" s="373">
        <f>IF((C8)&gt;(C10*0.2),0,(C10*0.2)-C8)</f>
        <v>0</v>
      </c>
      <c r="F13" s="373">
        <f>IF((D8)&gt;(D10*0.2),0,(D10*0.2)-D8)</f>
        <v>92944.066000000108</v>
      </c>
      <c r="G13" s="373">
        <f t="shared" ref="G13:M13" si="2">IF((E8)&gt;(E10*0.2),0,(E10*0.2)-E8)</f>
        <v>476984.71600000036</v>
      </c>
      <c r="H13" s="373">
        <f>IF((F8)&gt;(F10*0.2),0,(F10*0.2)-F8)</f>
        <v>925336.52400000021</v>
      </c>
      <c r="I13" s="373">
        <f>IF((G8)&gt;(G10*0.2),0,(G10*0.2)-G8)</f>
        <v>939512.35200000042</v>
      </c>
      <c r="J13" s="373">
        <f t="shared" si="2"/>
        <v>421476.81999999913</v>
      </c>
      <c r="K13" s="373">
        <f t="shared" si="2"/>
        <v>0</v>
      </c>
      <c r="L13" s="373">
        <f t="shared" si="2"/>
        <v>0</v>
      </c>
      <c r="M13" s="374">
        <f t="shared" si="2"/>
        <v>0</v>
      </c>
      <c r="N13" s="117"/>
    </row>
    <row r="14" spans="2:14" ht="30" customHeight="1" x14ac:dyDescent="0.25"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</row>
    <row r="15" spans="2:14" ht="15.75" x14ac:dyDescent="0.25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2:14" ht="15.75" x14ac:dyDescent="0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2:14" ht="15.75" x14ac:dyDescent="0.25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2:14" ht="15.75" x14ac:dyDescent="0.25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</row>
    <row r="19" spans="2:14" ht="15.75" x14ac:dyDescent="0.25">
      <c r="B19" s="145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90"/>
    </row>
    <row r="20" spans="2:14" ht="15.75" x14ac:dyDescent="0.25">
      <c r="B20" s="145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90"/>
    </row>
    <row r="21" spans="2:14" ht="15.75" x14ac:dyDescent="0.25">
      <c r="B21" s="145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90"/>
    </row>
    <row r="22" spans="2:14" x14ac:dyDescent="0.25">
      <c r="B22" s="91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90"/>
    </row>
    <row r="23" spans="2:14" x14ac:dyDescent="0.25">
      <c r="B23" s="9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90"/>
    </row>
    <row r="24" spans="2:14" x14ac:dyDescent="0.25">
      <c r="B24" s="9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0"/>
    </row>
    <row r="25" spans="2:14" x14ac:dyDescent="0.25">
      <c r="B25" s="9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90"/>
    </row>
    <row r="26" spans="2:14" x14ac:dyDescent="0.25">
      <c r="B26" s="91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90"/>
    </row>
    <row r="27" spans="2:14" x14ac:dyDescent="0.25">
      <c r="B27" s="91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90"/>
    </row>
    <row r="28" spans="2:14" x14ac:dyDescent="0.25">
      <c r="B28" s="91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90"/>
    </row>
    <row r="29" spans="2:14" x14ac:dyDescent="0.25">
      <c r="B29" s="91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90"/>
    </row>
    <row r="30" spans="2:14" x14ac:dyDescent="0.25">
      <c r="B30" s="91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90"/>
    </row>
    <row r="31" spans="2:14" x14ac:dyDescent="0.25">
      <c r="B31" s="91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90"/>
    </row>
    <row r="32" spans="2:14" x14ac:dyDescent="0.25">
      <c r="B32" s="91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90"/>
    </row>
    <row r="33" spans="2:14" x14ac:dyDescent="0.25">
      <c r="B33" s="91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90"/>
    </row>
    <row r="34" spans="2:14" x14ac:dyDescent="0.25"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90"/>
    </row>
    <row r="35" spans="2:14" x14ac:dyDescent="0.25">
      <c r="B35" s="91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90"/>
    </row>
    <row r="36" spans="2:14" x14ac:dyDescent="0.25">
      <c r="B36" s="91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90"/>
    </row>
    <row r="37" spans="2:14" x14ac:dyDescent="0.25">
      <c r="B37" s="91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90"/>
    </row>
    <row r="38" spans="2:14" x14ac:dyDescent="0.25">
      <c r="B38" s="91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90"/>
    </row>
    <row r="39" spans="2:14" x14ac:dyDescent="0.25">
      <c r="B39" s="9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90"/>
    </row>
    <row r="40" spans="2:14" x14ac:dyDescent="0.25">
      <c r="B40" s="91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90"/>
    </row>
    <row r="41" spans="2:14" x14ac:dyDescent="0.25">
      <c r="B41" s="91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90"/>
    </row>
    <row r="42" spans="2:14" x14ac:dyDescent="0.25">
      <c r="B42" s="91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90"/>
    </row>
    <row r="43" spans="2:14" x14ac:dyDescent="0.25">
      <c r="B43" s="91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90"/>
    </row>
    <row r="44" spans="2:14" x14ac:dyDescent="0.25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90"/>
    </row>
    <row r="45" spans="2:14" x14ac:dyDescent="0.25">
      <c r="B45" s="91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90"/>
    </row>
    <row r="46" spans="2:14" x14ac:dyDescent="0.25">
      <c r="B46" s="91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90"/>
    </row>
    <row r="47" spans="2:14" x14ac:dyDescent="0.25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</row>
  </sheetData>
  <mergeCells count="4">
    <mergeCell ref="C5:G5"/>
    <mergeCell ref="I5:M5"/>
    <mergeCell ref="B2:N2"/>
    <mergeCell ref="B3:N3"/>
  </mergeCells>
  <pageMargins left="0.7" right="0.7" top="0.75" bottom="0.75" header="0.3" footer="0.3"/>
  <pageSetup scale="56" orientation="landscape" r:id="rId1"/>
  <headerFooter>
    <oddFooter>&amp;L&amp;G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J341"/>
  <sheetViews>
    <sheetView topLeftCell="AD1" workbookViewId="0">
      <selection activeCell="AV5" sqref="AV5"/>
    </sheetView>
  </sheetViews>
  <sheetFormatPr defaultRowHeight="15" x14ac:dyDescent="0.25"/>
  <cols>
    <col min="1" max="1" width="8.28515625" bestFit="1" customWidth="1" collapsed="1"/>
    <col min="2" max="2" width="30.85546875" bestFit="1" customWidth="1" collapsed="1"/>
    <col min="3" max="3" width="14.28515625" bestFit="1" customWidth="1" collapsed="1"/>
    <col min="4" max="4" width="15.42578125" bestFit="1" customWidth="1" collapsed="1"/>
    <col min="5" max="5" width="12.7109375" bestFit="1" customWidth="1" collapsed="1"/>
    <col min="6" max="6" width="16.28515625" bestFit="1" customWidth="1" collapsed="1"/>
    <col min="7" max="7" width="15" bestFit="1" customWidth="1" collapsed="1"/>
    <col min="8" max="8" width="14.28515625" bestFit="1" customWidth="1" collapsed="1"/>
    <col min="9" max="9" width="15.42578125" bestFit="1" customWidth="1" collapsed="1"/>
    <col min="10" max="10" width="12.7109375" bestFit="1" customWidth="1" collapsed="1"/>
    <col min="11" max="11" width="16.28515625" bestFit="1" customWidth="1" collapsed="1"/>
    <col min="12" max="12" width="15" bestFit="1" customWidth="1" collapsed="1"/>
    <col min="13" max="13" width="14.28515625" bestFit="1" customWidth="1" collapsed="1"/>
    <col min="14" max="14" width="15.42578125" bestFit="1" customWidth="1" collapsed="1"/>
    <col min="15" max="15" width="12.7109375" bestFit="1" customWidth="1" collapsed="1"/>
    <col min="16" max="16" width="16.28515625" bestFit="1" customWidth="1" collapsed="1"/>
    <col min="17" max="17" width="15" bestFit="1" customWidth="1" collapsed="1"/>
    <col min="18" max="18" width="14.28515625" bestFit="1" customWidth="1" collapsed="1"/>
    <col min="19" max="19" width="15.42578125" bestFit="1" customWidth="1" collapsed="1"/>
    <col min="20" max="20" width="12.7109375" bestFit="1" customWidth="1" collapsed="1"/>
    <col min="21" max="21" width="16.28515625" bestFit="1" customWidth="1" collapsed="1"/>
    <col min="22" max="22" width="15" bestFit="1" customWidth="1" collapsed="1"/>
    <col min="23" max="23" width="14.28515625" bestFit="1" customWidth="1" collapsed="1"/>
    <col min="24" max="24" width="15.42578125" bestFit="1" customWidth="1" collapsed="1"/>
    <col min="25" max="25" width="12.7109375" bestFit="1" customWidth="1" collapsed="1"/>
    <col min="26" max="26" width="16.28515625" bestFit="1" customWidth="1" collapsed="1"/>
    <col min="27" max="27" width="15" bestFit="1" customWidth="1" collapsed="1"/>
    <col min="28" max="28" width="14.28515625" bestFit="1" customWidth="1" collapsed="1"/>
    <col min="29" max="29" width="15.42578125" bestFit="1" customWidth="1" collapsed="1"/>
    <col min="30" max="30" width="12.7109375" bestFit="1" customWidth="1" collapsed="1"/>
    <col min="31" max="31" width="16.28515625" bestFit="1" customWidth="1" collapsed="1"/>
    <col min="32" max="32" width="15" bestFit="1" customWidth="1" collapsed="1"/>
    <col min="41" max="41" width="11" bestFit="1" customWidth="1" collapsed="1"/>
    <col min="42" max="42" width="12" bestFit="1" customWidth="1" collapsed="1"/>
    <col min="46" max="47" width="11" bestFit="1" customWidth="1" collapsed="1"/>
  </cols>
  <sheetData>
    <row r="1" spans="1:62" x14ac:dyDescent="0.25">
      <c r="A1" t="s">
        <v>190</v>
      </c>
      <c r="C1" t="s">
        <v>191</v>
      </c>
      <c r="H1" t="s">
        <v>192</v>
      </c>
      <c r="M1" t="s">
        <v>146</v>
      </c>
      <c r="R1" t="s">
        <v>147</v>
      </c>
      <c r="W1" t="s">
        <v>148</v>
      </c>
      <c r="AB1" t="s">
        <v>149</v>
      </c>
      <c r="AK1">
        <v>1</v>
      </c>
      <c r="AL1">
        <v>2</v>
      </c>
      <c r="AM1">
        <v>3</v>
      </c>
      <c r="AN1">
        <v>4</v>
      </c>
      <c r="AO1">
        <v>5</v>
      </c>
      <c r="AP1">
        <v>6</v>
      </c>
      <c r="AQ1">
        <v>7</v>
      </c>
      <c r="AR1">
        <v>8</v>
      </c>
      <c r="AS1">
        <v>9</v>
      </c>
      <c r="AT1">
        <v>10</v>
      </c>
      <c r="AU1">
        <v>11</v>
      </c>
      <c r="AV1">
        <v>12</v>
      </c>
      <c r="AZ1">
        <v>1</v>
      </c>
      <c r="BA1">
        <v>2</v>
      </c>
      <c r="BB1">
        <v>54</v>
      </c>
      <c r="BC1">
        <v>55</v>
      </c>
      <c r="BD1">
        <v>56</v>
      </c>
      <c r="BG1">
        <v>1</v>
      </c>
      <c r="BH1">
        <v>2</v>
      </c>
      <c r="BI1">
        <v>144</v>
      </c>
      <c r="BJ1">
        <v>146</v>
      </c>
    </row>
    <row r="2" spans="1:62" x14ac:dyDescent="0.25">
      <c r="A2" t="s">
        <v>193</v>
      </c>
      <c r="B2" t="s">
        <v>194</v>
      </c>
      <c r="C2" t="s">
        <v>157</v>
      </c>
      <c r="D2" t="s">
        <v>158</v>
      </c>
      <c r="E2" t="s">
        <v>159</v>
      </c>
      <c r="F2" t="s">
        <v>175</v>
      </c>
      <c r="G2" t="s">
        <v>160</v>
      </c>
      <c r="H2" t="s">
        <v>157</v>
      </c>
      <c r="I2" t="s">
        <v>158</v>
      </c>
      <c r="J2" t="s">
        <v>159</v>
      </c>
      <c r="K2" t="s">
        <v>175</v>
      </c>
      <c r="L2" t="s">
        <v>160</v>
      </c>
      <c r="M2" t="s">
        <v>157</v>
      </c>
      <c r="N2" t="s">
        <v>158</v>
      </c>
      <c r="O2" t="s">
        <v>159</v>
      </c>
      <c r="P2" t="s">
        <v>175</v>
      </c>
      <c r="Q2" t="s">
        <v>160</v>
      </c>
      <c r="R2" t="s">
        <v>157</v>
      </c>
      <c r="S2" t="s">
        <v>158</v>
      </c>
      <c r="T2" t="s">
        <v>159</v>
      </c>
      <c r="U2" t="s">
        <v>175</v>
      </c>
      <c r="V2" t="s">
        <v>160</v>
      </c>
      <c r="W2" t="s">
        <v>157</v>
      </c>
      <c r="X2" t="s">
        <v>158</v>
      </c>
      <c r="Y2" t="s">
        <v>159</v>
      </c>
      <c r="Z2" t="s">
        <v>175</v>
      </c>
      <c r="AA2" t="s">
        <v>160</v>
      </c>
      <c r="AB2" t="s">
        <v>157</v>
      </c>
      <c r="AC2" t="s">
        <v>158</v>
      </c>
      <c r="AD2" t="s">
        <v>159</v>
      </c>
      <c r="AE2" t="s">
        <v>175</v>
      </c>
      <c r="AF2" t="s">
        <v>160</v>
      </c>
      <c r="AK2" t="s">
        <v>190</v>
      </c>
      <c r="AM2" t="s">
        <v>191</v>
      </c>
      <c r="AN2" t="s">
        <v>1847</v>
      </c>
      <c r="AR2" t="s">
        <v>192</v>
      </c>
      <c r="AS2" t="s">
        <v>1846</v>
      </c>
      <c r="BB2" t="s">
        <v>55</v>
      </c>
      <c r="BI2" t="s">
        <v>56</v>
      </c>
      <c r="BJ2" t="s">
        <v>56</v>
      </c>
    </row>
    <row r="3" spans="1:62" x14ac:dyDescent="0.25">
      <c r="A3">
        <v>18</v>
      </c>
      <c r="B3" t="s">
        <v>195</v>
      </c>
      <c r="C3">
        <v>0</v>
      </c>
      <c r="D3">
        <v>722011.45</v>
      </c>
      <c r="E3">
        <v>3492097.19</v>
      </c>
      <c r="F3">
        <v>3394276.03</v>
      </c>
      <c r="G3">
        <v>128249</v>
      </c>
      <c r="H3">
        <v>285238.94</v>
      </c>
      <c r="I3">
        <v>196344.67</v>
      </c>
      <c r="J3">
        <v>3299445.59</v>
      </c>
      <c r="K3">
        <v>3565486.71</v>
      </c>
      <c r="L3">
        <v>135600</v>
      </c>
      <c r="M3">
        <v>0</v>
      </c>
      <c r="N3">
        <v>291536.09999999998</v>
      </c>
      <c r="O3">
        <v>3748337.73</v>
      </c>
      <c r="P3">
        <v>3507388.3600000003</v>
      </c>
      <c r="Q3">
        <v>142037</v>
      </c>
      <c r="R3">
        <v>0</v>
      </c>
      <c r="S3">
        <v>393201.4</v>
      </c>
      <c r="T3">
        <v>3640032.43</v>
      </c>
      <c r="U3">
        <v>3516221.95</v>
      </c>
      <c r="V3">
        <v>128250</v>
      </c>
      <c r="W3">
        <v>0</v>
      </c>
      <c r="X3">
        <v>893448.27</v>
      </c>
      <c r="Y3">
        <v>3581388.94</v>
      </c>
      <c r="Z3">
        <v>3501576.7</v>
      </c>
      <c r="AA3">
        <v>130133</v>
      </c>
      <c r="AB3">
        <v>0</v>
      </c>
      <c r="AC3">
        <v>1041240.97</v>
      </c>
      <c r="AD3">
        <v>3691514.73</v>
      </c>
      <c r="AE3">
        <v>3516982.8</v>
      </c>
      <c r="AF3">
        <v>136496</v>
      </c>
      <c r="AK3" t="s">
        <v>193</v>
      </c>
      <c r="AL3" t="s">
        <v>194</v>
      </c>
      <c r="AM3" t="s">
        <v>157</v>
      </c>
      <c r="AN3" t="s">
        <v>158</v>
      </c>
      <c r="AO3" t="s">
        <v>159</v>
      </c>
      <c r="AP3" t="s">
        <v>175</v>
      </c>
      <c r="AQ3" t="s">
        <v>160</v>
      </c>
      <c r="AR3" t="s">
        <v>157</v>
      </c>
      <c r="AS3" t="s">
        <v>158</v>
      </c>
      <c r="AT3" t="s">
        <v>159</v>
      </c>
      <c r="AU3" t="s">
        <v>175</v>
      </c>
      <c r="AV3" t="s">
        <v>160</v>
      </c>
      <c r="AZ3" t="s">
        <v>616</v>
      </c>
      <c r="BA3" t="s">
        <v>617</v>
      </c>
      <c r="BB3" t="s">
        <v>159</v>
      </c>
      <c r="BC3" t="s">
        <v>175</v>
      </c>
      <c r="BD3" t="s">
        <v>160</v>
      </c>
      <c r="BG3" t="s">
        <v>616</v>
      </c>
      <c r="BH3" t="s">
        <v>617</v>
      </c>
      <c r="BI3" t="s">
        <v>157</v>
      </c>
      <c r="BJ3" t="s">
        <v>535</v>
      </c>
    </row>
    <row r="4" spans="1:62" x14ac:dyDescent="0.25">
      <c r="A4">
        <v>27</v>
      </c>
      <c r="B4" t="s">
        <v>196</v>
      </c>
      <c r="C4">
        <v>71481.37</v>
      </c>
      <c r="D4">
        <v>520171.93</v>
      </c>
      <c r="E4">
        <v>13329794.98</v>
      </c>
      <c r="F4">
        <v>12614190.15</v>
      </c>
      <c r="G4">
        <v>484444</v>
      </c>
      <c r="H4">
        <v>82444.52</v>
      </c>
      <c r="I4">
        <v>1026308.37</v>
      </c>
      <c r="J4">
        <v>12945814.6</v>
      </c>
      <c r="K4">
        <v>12321404.340000002</v>
      </c>
      <c r="L4">
        <v>522020</v>
      </c>
      <c r="M4">
        <v>0</v>
      </c>
      <c r="N4">
        <v>2284872.62</v>
      </c>
      <c r="O4">
        <v>14020985.49</v>
      </c>
      <c r="P4">
        <v>12794673.009999998</v>
      </c>
      <c r="Q4">
        <v>542779</v>
      </c>
      <c r="R4">
        <v>78178.070000000007</v>
      </c>
      <c r="S4">
        <v>3605713.94</v>
      </c>
      <c r="T4">
        <v>14452065.449999999</v>
      </c>
      <c r="U4">
        <v>13159054.290000001</v>
      </c>
      <c r="V4">
        <v>499852</v>
      </c>
      <c r="W4">
        <v>104564.27</v>
      </c>
      <c r="X4">
        <v>4328687.17</v>
      </c>
      <c r="Y4">
        <v>14337975.689999999</v>
      </c>
      <c r="Z4">
        <v>13588563.169999996</v>
      </c>
      <c r="AA4">
        <v>521232</v>
      </c>
      <c r="AB4">
        <v>96586.93</v>
      </c>
      <c r="AC4">
        <v>4026463.48</v>
      </c>
      <c r="AD4">
        <v>14674773.939999999</v>
      </c>
      <c r="AE4">
        <v>14927955.189999999</v>
      </c>
      <c r="AF4">
        <v>554467</v>
      </c>
      <c r="AK4">
        <f>VLOOKUP('Scenario Assumptions'!$C$6,'Solvency Historical Data'!$A$3:$AF$341,1,FALSE)</f>
        <v>2718</v>
      </c>
      <c r="AL4" t="str">
        <f>VLOOKUP('Scenario Assumptions'!$C$6,'Solvency Historical Data'!$A$3:$AF$341,2,FALSE)</f>
        <v>GRISWOLD</v>
      </c>
      <c r="AM4">
        <f>VLOOKUP('Scenario Assumptions'!$C$6,'Solvency Historical Data'!$A$3:$AF$341,13,FALSE)</f>
        <v>0</v>
      </c>
      <c r="AN4">
        <f>VLOOKUP('Scenario Assumptions'!$C$6,'Solvency Historical Data'!$A$3:$AF$341,14,FALSE)</f>
        <v>1989586.41</v>
      </c>
      <c r="AO4">
        <f>VLOOKUP('Scenario Assumptions'!$C$6,'Solvency Historical Data'!$A$3:$AF$341,15,FALSE)</f>
        <v>6457025.1600000001</v>
      </c>
      <c r="AP4">
        <f>VLOOKUP('Scenario Assumptions'!$C$6,'Solvency Historical Data'!$A$3:$AF$341,16,FALSE)</f>
        <v>5604531.5599999996</v>
      </c>
      <c r="AQ4">
        <f>VLOOKUP('Scenario Assumptions'!$C$6,'Solvency Historical Data'!$A$3:$AF$341,17,FALSE)</f>
        <v>254208</v>
      </c>
      <c r="AR4">
        <f>VLOOKUP('Scenario Assumptions'!$C$6,'Solvency Historical Data'!$A$3:$AF$341,18,FALSE)</f>
        <v>0</v>
      </c>
      <c r="AS4">
        <f>VLOOKUP('Scenario Assumptions'!$C$6,'Solvency Historical Data'!$A$3:$AF$341,19,FALSE)</f>
        <v>2478290.5299999998</v>
      </c>
      <c r="AT4">
        <f>VLOOKUP('Scenario Assumptions'!$C$6,'Solvency Historical Data'!$A$3:$AF$341,20,FALSE)</f>
        <v>6335321.5599999996</v>
      </c>
      <c r="AU4">
        <f>VLOOKUP('Scenario Assumptions'!$C$6,'Solvency Historical Data'!$A$3:$AF$341,21,FALSE)</f>
        <v>5931718.4000000013</v>
      </c>
      <c r="AV4">
        <f>VLOOKUP('Scenario Assumptions'!$C$6,'Solvency Historical Data'!$A$3:$AF$341,22,FALSE)</f>
        <v>224939</v>
      </c>
      <c r="AZ4">
        <v>18</v>
      </c>
      <c r="BA4" t="s">
        <v>195</v>
      </c>
      <c r="BB4">
        <v>3691514.73</v>
      </c>
      <c r="BC4">
        <v>3516982.8</v>
      </c>
      <c r="BD4">
        <v>130133</v>
      </c>
      <c r="BG4">
        <v>18</v>
      </c>
      <c r="BH4" t="s">
        <v>195</v>
      </c>
      <c r="BI4">
        <v>0</v>
      </c>
      <c r="BJ4">
        <v>1204568.98</v>
      </c>
    </row>
    <row r="5" spans="1:62" x14ac:dyDescent="0.25">
      <c r="A5">
        <v>9</v>
      </c>
      <c r="B5" t="s">
        <v>197</v>
      </c>
      <c r="C5">
        <v>0</v>
      </c>
      <c r="D5">
        <v>1421300.73</v>
      </c>
      <c r="E5">
        <v>7206247.9900000002</v>
      </c>
      <c r="F5">
        <v>7084058.7300000004</v>
      </c>
      <c r="G5">
        <v>260298</v>
      </c>
      <c r="H5">
        <v>0</v>
      </c>
      <c r="I5">
        <v>1464644.62</v>
      </c>
      <c r="J5">
        <v>7013592.0999999996</v>
      </c>
      <c r="K5">
        <v>6886060.0699999994</v>
      </c>
      <c r="L5">
        <v>295137</v>
      </c>
      <c r="M5">
        <v>280.5</v>
      </c>
      <c r="N5">
        <v>1364313.95</v>
      </c>
      <c r="O5">
        <v>7015685.2999999998</v>
      </c>
      <c r="P5">
        <v>7034490.5500000007</v>
      </c>
      <c r="Q5">
        <v>296938</v>
      </c>
      <c r="R5">
        <v>5285.79</v>
      </c>
      <c r="S5">
        <v>1477581.3</v>
      </c>
      <c r="T5">
        <v>7091171.4699999997</v>
      </c>
      <c r="U5">
        <v>6925928.0599999996</v>
      </c>
      <c r="V5">
        <v>263495</v>
      </c>
      <c r="W5">
        <v>5136.08</v>
      </c>
      <c r="X5">
        <v>1060766.76</v>
      </c>
      <c r="Y5">
        <v>6556315.2300000004</v>
      </c>
      <c r="Z5">
        <v>6915312.75</v>
      </c>
      <c r="AA5">
        <v>255367</v>
      </c>
      <c r="AB5">
        <v>12256.83</v>
      </c>
      <c r="AC5">
        <v>545183.26</v>
      </c>
      <c r="AD5">
        <v>6481502.0899999999</v>
      </c>
      <c r="AE5">
        <v>6926391.8099999987</v>
      </c>
      <c r="AF5">
        <v>263236</v>
      </c>
      <c r="AZ5">
        <v>27</v>
      </c>
      <c r="BA5" t="s">
        <v>196</v>
      </c>
      <c r="BB5">
        <v>14674773.939999999</v>
      </c>
      <c r="BC5">
        <v>14927955.189999999</v>
      </c>
      <c r="BD5">
        <v>521232</v>
      </c>
      <c r="BG5">
        <v>27</v>
      </c>
      <c r="BH5" t="s">
        <v>196</v>
      </c>
      <c r="BI5">
        <v>98609.76</v>
      </c>
      <c r="BJ5">
        <v>3578294.15</v>
      </c>
    </row>
    <row r="6" spans="1:62" x14ac:dyDescent="0.25">
      <c r="A6">
        <v>441</v>
      </c>
      <c r="B6" t="s">
        <v>198</v>
      </c>
      <c r="C6">
        <v>0</v>
      </c>
      <c r="D6">
        <v>694561.66</v>
      </c>
      <c r="E6">
        <v>5710372.0899999999</v>
      </c>
      <c r="F6">
        <v>5638641.8500000006</v>
      </c>
      <c r="G6">
        <v>229509</v>
      </c>
      <c r="H6">
        <v>0</v>
      </c>
      <c r="I6">
        <v>377613.25</v>
      </c>
      <c r="J6">
        <v>5865345.5599999996</v>
      </c>
      <c r="K6">
        <v>6019611.1800000006</v>
      </c>
      <c r="L6">
        <v>260451</v>
      </c>
      <c r="M6">
        <v>0</v>
      </c>
      <c r="N6">
        <v>1110873.04</v>
      </c>
      <c r="O6">
        <v>6503676.2999999998</v>
      </c>
      <c r="P6">
        <v>5845672.1399999997</v>
      </c>
      <c r="Q6">
        <v>262260</v>
      </c>
      <c r="R6">
        <v>0</v>
      </c>
      <c r="S6">
        <v>1567178.46</v>
      </c>
      <c r="T6">
        <v>6387645.6500000004</v>
      </c>
      <c r="U6">
        <v>5799261.7999999998</v>
      </c>
      <c r="V6">
        <v>233528</v>
      </c>
      <c r="W6">
        <v>0</v>
      </c>
      <c r="X6">
        <v>1697950.03</v>
      </c>
      <c r="Y6">
        <v>5790896.2300000004</v>
      </c>
      <c r="Z6">
        <v>5728860.1100000003</v>
      </c>
      <c r="AA6">
        <v>231742</v>
      </c>
      <c r="AB6">
        <v>0</v>
      </c>
      <c r="AC6">
        <v>1492236</v>
      </c>
      <c r="AD6">
        <v>5845627.29</v>
      </c>
      <c r="AE6">
        <v>6188163.8599999994</v>
      </c>
      <c r="AF6">
        <v>238371</v>
      </c>
      <c r="AZ6">
        <v>9</v>
      </c>
      <c r="BA6" t="s">
        <v>197</v>
      </c>
      <c r="BB6">
        <v>6481502.0899999999</v>
      </c>
      <c r="BC6">
        <v>6926391.8099999987</v>
      </c>
      <c r="BD6">
        <v>255367</v>
      </c>
      <c r="BG6">
        <v>9</v>
      </c>
      <c r="BH6" t="s">
        <v>197</v>
      </c>
      <c r="BI6">
        <v>15082.11</v>
      </c>
      <c r="BJ6">
        <v>436694.1</v>
      </c>
    </row>
    <row r="7" spans="1:62" x14ac:dyDescent="0.25">
      <c r="A7">
        <v>63</v>
      </c>
      <c r="B7" t="s">
        <v>199</v>
      </c>
      <c r="C7">
        <v>0</v>
      </c>
      <c r="D7">
        <v>892755.77</v>
      </c>
      <c r="E7">
        <v>5491270.8200000003</v>
      </c>
      <c r="F7">
        <v>5358594.71</v>
      </c>
      <c r="G7">
        <v>182896</v>
      </c>
      <c r="H7">
        <v>0</v>
      </c>
      <c r="I7">
        <v>969401.54</v>
      </c>
      <c r="J7">
        <v>5600821.9900000002</v>
      </c>
      <c r="K7">
        <v>5442076</v>
      </c>
      <c r="L7">
        <v>212813</v>
      </c>
      <c r="M7">
        <v>0</v>
      </c>
      <c r="N7">
        <v>1332227.53</v>
      </c>
      <c r="O7">
        <v>5572040.5899999999</v>
      </c>
      <c r="P7">
        <v>5274336.1300000008</v>
      </c>
      <c r="Q7">
        <v>217172</v>
      </c>
      <c r="R7">
        <v>0</v>
      </c>
      <c r="S7">
        <v>1424458.26</v>
      </c>
      <c r="T7">
        <v>5736001.0899999999</v>
      </c>
      <c r="U7">
        <v>5652537.5600000015</v>
      </c>
      <c r="V7">
        <v>197449</v>
      </c>
      <c r="W7">
        <v>0</v>
      </c>
      <c r="X7">
        <v>1599026.7</v>
      </c>
      <c r="Y7">
        <v>5469620.6500000004</v>
      </c>
      <c r="Z7">
        <v>5314426.71</v>
      </c>
      <c r="AA7">
        <v>196349</v>
      </c>
      <c r="AB7">
        <v>0</v>
      </c>
      <c r="AC7">
        <v>1723444.83</v>
      </c>
      <c r="AD7">
        <v>5768621.3399999999</v>
      </c>
      <c r="AE7">
        <v>5643266.1600000001</v>
      </c>
      <c r="AF7">
        <v>203455</v>
      </c>
      <c r="AZ7">
        <v>441</v>
      </c>
      <c r="BA7" t="s">
        <v>598</v>
      </c>
      <c r="BB7">
        <v>5845627.29</v>
      </c>
      <c r="BC7">
        <v>6188163.8599999994</v>
      </c>
      <c r="BD7">
        <v>231742</v>
      </c>
      <c r="BG7">
        <v>441</v>
      </c>
      <c r="BH7" t="s">
        <v>598</v>
      </c>
      <c r="BI7">
        <v>0</v>
      </c>
      <c r="BJ7">
        <v>929464.14</v>
      </c>
    </row>
    <row r="8" spans="1:62" x14ac:dyDescent="0.25">
      <c r="A8">
        <v>72</v>
      </c>
      <c r="B8" t="s">
        <v>200</v>
      </c>
      <c r="C8">
        <v>250000</v>
      </c>
      <c r="D8">
        <v>90183.24</v>
      </c>
      <c r="E8">
        <v>2001293.3</v>
      </c>
      <c r="F8">
        <v>2330013.7900000005</v>
      </c>
      <c r="G8">
        <v>90398</v>
      </c>
      <c r="H8">
        <v>139896.15</v>
      </c>
      <c r="I8">
        <v>0</v>
      </c>
      <c r="J8">
        <v>2019979.17</v>
      </c>
      <c r="K8">
        <v>2203963.19</v>
      </c>
      <c r="L8">
        <v>99914</v>
      </c>
      <c r="M8">
        <v>0</v>
      </c>
      <c r="N8">
        <v>249594.21</v>
      </c>
      <c r="O8">
        <v>2366731.31</v>
      </c>
      <c r="P8">
        <v>2206069.48</v>
      </c>
      <c r="Q8">
        <v>99999</v>
      </c>
      <c r="R8">
        <v>0</v>
      </c>
      <c r="S8">
        <v>345464.63</v>
      </c>
      <c r="T8">
        <v>2220774.35</v>
      </c>
      <c r="U8">
        <v>2155936.4500000002</v>
      </c>
      <c r="V8">
        <v>87165</v>
      </c>
      <c r="W8">
        <v>0</v>
      </c>
      <c r="X8">
        <v>385051.57</v>
      </c>
      <c r="Y8">
        <v>2240549.29</v>
      </c>
      <c r="Z8">
        <v>2183618.9800000004</v>
      </c>
      <c r="AA8">
        <v>87859</v>
      </c>
      <c r="AB8">
        <v>0</v>
      </c>
      <c r="AC8">
        <v>323549.8</v>
      </c>
      <c r="AD8">
        <v>2254307.0099999998</v>
      </c>
      <c r="AE8">
        <v>2239727.87</v>
      </c>
      <c r="AF8">
        <v>92400</v>
      </c>
      <c r="AZ8">
        <v>63</v>
      </c>
      <c r="BA8" t="s">
        <v>199</v>
      </c>
      <c r="BB8">
        <v>5768621.3399999999</v>
      </c>
      <c r="BC8">
        <v>5643266.1600000001</v>
      </c>
      <c r="BD8">
        <v>196349</v>
      </c>
      <c r="BG8">
        <v>63</v>
      </c>
      <c r="BH8" t="s">
        <v>199</v>
      </c>
      <c r="BI8">
        <v>0</v>
      </c>
      <c r="BJ8">
        <v>1844448.62</v>
      </c>
    </row>
    <row r="9" spans="1:62" x14ac:dyDescent="0.25">
      <c r="A9">
        <v>81</v>
      </c>
      <c r="B9" t="s">
        <v>201</v>
      </c>
      <c r="C9">
        <v>667917.41</v>
      </c>
      <c r="D9">
        <v>667917.4</v>
      </c>
      <c r="E9">
        <v>11467540.32</v>
      </c>
      <c r="F9">
        <v>11615480.43</v>
      </c>
      <c r="G9">
        <v>407689</v>
      </c>
      <c r="H9">
        <v>667917.41</v>
      </c>
      <c r="I9">
        <v>344120.72</v>
      </c>
      <c r="J9">
        <v>10762799.02</v>
      </c>
      <c r="K9">
        <v>11032809.35</v>
      </c>
      <c r="L9">
        <v>453944</v>
      </c>
      <c r="M9">
        <v>0</v>
      </c>
      <c r="N9">
        <v>486546.14</v>
      </c>
      <c r="O9">
        <v>11060903.91</v>
      </c>
      <c r="P9">
        <v>10925859.67</v>
      </c>
      <c r="Q9">
        <v>459303</v>
      </c>
      <c r="R9">
        <v>0</v>
      </c>
      <c r="S9">
        <v>1254075.74</v>
      </c>
      <c r="T9">
        <v>11469898.140000001</v>
      </c>
      <c r="U9">
        <v>11310347.939999999</v>
      </c>
      <c r="V9">
        <v>420468</v>
      </c>
      <c r="W9">
        <v>0</v>
      </c>
      <c r="X9">
        <v>996117.22</v>
      </c>
      <c r="Y9">
        <v>11329374.65</v>
      </c>
      <c r="Z9">
        <v>11562853.810000001</v>
      </c>
      <c r="AA9">
        <v>431042</v>
      </c>
      <c r="AB9">
        <v>0</v>
      </c>
      <c r="AC9">
        <v>845187.13</v>
      </c>
      <c r="AD9">
        <v>11985610.289999999</v>
      </c>
      <c r="AE9">
        <v>12169397.780000001</v>
      </c>
      <c r="AF9">
        <v>453053</v>
      </c>
      <c r="AZ9">
        <v>72</v>
      </c>
      <c r="BA9" t="s">
        <v>200</v>
      </c>
      <c r="BB9">
        <v>2254307.0099999998</v>
      </c>
      <c r="BC9">
        <v>2239727.87</v>
      </c>
      <c r="BD9">
        <v>87859</v>
      </c>
      <c r="BG9">
        <v>72</v>
      </c>
      <c r="BH9" t="s">
        <v>200</v>
      </c>
      <c r="BI9">
        <v>0</v>
      </c>
      <c r="BJ9">
        <v>268461.90999999997</v>
      </c>
    </row>
    <row r="10" spans="1:62" x14ac:dyDescent="0.25">
      <c r="A10">
        <v>99</v>
      </c>
      <c r="B10" t="s">
        <v>202</v>
      </c>
      <c r="C10">
        <v>0</v>
      </c>
      <c r="D10">
        <v>-993127.38</v>
      </c>
      <c r="E10">
        <v>5553527.0899999999</v>
      </c>
      <c r="F10">
        <v>5586587.5499999998</v>
      </c>
      <c r="G10">
        <v>205226</v>
      </c>
      <c r="H10">
        <v>0</v>
      </c>
      <c r="I10">
        <v>-1226804.74</v>
      </c>
      <c r="J10">
        <v>5370163.6299999999</v>
      </c>
      <c r="K10">
        <v>5506959.2199999997</v>
      </c>
      <c r="L10">
        <v>224906</v>
      </c>
      <c r="M10">
        <v>0</v>
      </c>
      <c r="N10">
        <v>-1155642.97</v>
      </c>
      <c r="O10">
        <v>5888413.04</v>
      </c>
      <c r="P10">
        <v>5577533.9299999988</v>
      </c>
      <c r="Q10">
        <v>225292</v>
      </c>
      <c r="R10">
        <v>0</v>
      </c>
      <c r="S10">
        <v>-891108.53</v>
      </c>
      <c r="T10">
        <v>6295549.2300000004</v>
      </c>
      <c r="U10">
        <v>6011558.2800000003</v>
      </c>
      <c r="V10">
        <v>201959</v>
      </c>
      <c r="W10">
        <v>0</v>
      </c>
      <c r="X10">
        <v>-473115.37</v>
      </c>
      <c r="Y10">
        <v>6325408.04</v>
      </c>
      <c r="Z10">
        <v>5830201.5000000019</v>
      </c>
      <c r="AA10">
        <v>203923</v>
      </c>
      <c r="AB10">
        <v>6330.29</v>
      </c>
      <c r="AC10">
        <v>464469.43</v>
      </c>
      <c r="AD10">
        <v>6783100.2599999998</v>
      </c>
      <c r="AE10">
        <v>6004153.6299999999</v>
      </c>
      <c r="AF10">
        <v>215830</v>
      </c>
      <c r="AZ10">
        <v>81</v>
      </c>
      <c r="BA10" t="s">
        <v>201</v>
      </c>
      <c r="BB10">
        <v>11985610.289999999</v>
      </c>
      <c r="BC10">
        <v>12169397.780000001</v>
      </c>
      <c r="BD10">
        <v>431042</v>
      </c>
      <c r="BG10">
        <v>81</v>
      </c>
      <c r="BH10" t="s">
        <v>201</v>
      </c>
      <c r="BI10">
        <v>0</v>
      </c>
      <c r="BJ10">
        <v>966573.43</v>
      </c>
    </row>
    <row r="11" spans="1:62" x14ac:dyDescent="0.25">
      <c r="A11">
        <v>108</v>
      </c>
      <c r="B11" t="s">
        <v>203</v>
      </c>
      <c r="C11">
        <v>0</v>
      </c>
      <c r="D11">
        <v>663979.06000000006</v>
      </c>
      <c r="E11">
        <v>2887880.19</v>
      </c>
      <c r="F11">
        <v>3071477.49</v>
      </c>
      <c r="G11">
        <v>96850</v>
      </c>
      <c r="H11">
        <v>0</v>
      </c>
      <c r="I11">
        <v>349503.78</v>
      </c>
      <c r="J11">
        <v>3028169.21</v>
      </c>
      <c r="K11">
        <v>3315172.18</v>
      </c>
      <c r="L11">
        <v>109558</v>
      </c>
      <c r="M11">
        <v>0</v>
      </c>
      <c r="N11">
        <v>322115.40999999997</v>
      </c>
      <c r="O11">
        <v>3180857.59</v>
      </c>
      <c r="P11">
        <v>3209071.6199999996</v>
      </c>
      <c r="Q11">
        <v>112049</v>
      </c>
      <c r="R11">
        <v>0</v>
      </c>
      <c r="S11">
        <v>820725.7</v>
      </c>
      <c r="T11">
        <v>3590907.52</v>
      </c>
      <c r="U11">
        <v>3048225.62</v>
      </c>
      <c r="V11">
        <v>102371</v>
      </c>
      <c r="W11">
        <v>0</v>
      </c>
      <c r="X11">
        <v>1021440.88</v>
      </c>
      <c r="Y11">
        <v>3322059.79</v>
      </c>
      <c r="Z11">
        <v>3096994.8699999996</v>
      </c>
      <c r="AA11">
        <v>99350</v>
      </c>
      <c r="AB11">
        <v>0</v>
      </c>
      <c r="AC11">
        <v>1076103.24</v>
      </c>
      <c r="AD11">
        <v>3273643.93</v>
      </c>
      <c r="AE11">
        <v>3170419.4499999997</v>
      </c>
      <c r="AF11">
        <v>105441</v>
      </c>
      <c r="AZ11">
        <v>99</v>
      </c>
      <c r="BA11" t="s">
        <v>202</v>
      </c>
      <c r="BB11">
        <v>6783100.2599999998</v>
      </c>
      <c r="BC11">
        <v>6004153.6299999999</v>
      </c>
      <c r="BD11">
        <v>203923</v>
      </c>
      <c r="BG11">
        <v>99</v>
      </c>
      <c r="BH11" t="s">
        <v>202</v>
      </c>
      <c r="BI11">
        <v>6773.03</v>
      </c>
      <c r="BJ11">
        <v>1137443.6399999999</v>
      </c>
    </row>
    <row r="12" spans="1:62" x14ac:dyDescent="0.25">
      <c r="A12">
        <v>126</v>
      </c>
      <c r="B12" t="s">
        <v>204</v>
      </c>
      <c r="C12">
        <v>0</v>
      </c>
      <c r="D12">
        <v>-253718.07</v>
      </c>
      <c r="E12">
        <v>12865604.210000001</v>
      </c>
      <c r="F12">
        <v>12268919.590000002</v>
      </c>
      <c r="G12">
        <v>492441</v>
      </c>
      <c r="H12">
        <v>0</v>
      </c>
      <c r="I12">
        <v>572709.09</v>
      </c>
      <c r="J12">
        <v>13572992.810000001</v>
      </c>
      <c r="K12">
        <v>12734455.15</v>
      </c>
      <c r="L12">
        <v>555416</v>
      </c>
      <c r="M12">
        <v>0</v>
      </c>
      <c r="N12">
        <v>859285.72</v>
      </c>
      <c r="O12">
        <v>14359482.050000001</v>
      </c>
      <c r="P12">
        <v>13882269.66</v>
      </c>
      <c r="Q12">
        <v>577797</v>
      </c>
      <c r="R12">
        <v>0</v>
      </c>
      <c r="S12">
        <v>1734953.55</v>
      </c>
      <c r="T12">
        <v>15087518.779999999</v>
      </c>
      <c r="U12">
        <v>14074581.23</v>
      </c>
      <c r="V12">
        <v>520901</v>
      </c>
      <c r="W12">
        <v>0</v>
      </c>
      <c r="X12">
        <v>1618201.78</v>
      </c>
      <c r="Y12">
        <v>14767068.939999999</v>
      </c>
      <c r="Z12">
        <v>14565267.839999998</v>
      </c>
      <c r="AA12">
        <v>530866</v>
      </c>
      <c r="AB12">
        <v>0</v>
      </c>
      <c r="AC12">
        <v>1498596.82</v>
      </c>
      <c r="AD12">
        <v>14757781.609999999</v>
      </c>
      <c r="AE12">
        <v>14725752.310000001</v>
      </c>
      <c r="AF12">
        <v>543408</v>
      </c>
      <c r="AZ12">
        <v>108</v>
      </c>
      <c r="BA12" t="s">
        <v>203</v>
      </c>
      <c r="BB12">
        <v>3273643.93</v>
      </c>
      <c r="BC12">
        <v>3170419.4499999997</v>
      </c>
      <c r="BD12">
        <v>99350</v>
      </c>
      <c r="BG12">
        <v>108</v>
      </c>
      <c r="BH12" t="s">
        <v>203</v>
      </c>
      <c r="BI12">
        <v>0</v>
      </c>
      <c r="BJ12">
        <v>1072604.31</v>
      </c>
    </row>
    <row r="13" spans="1:62" x14ac:dyDescent="0.25">
      <c r="A13">
        <v>135</v>
      </c>
      <c r="B13" t="s">
        <v>205</v>
      </c>
      <c r="C13">
        <v>0</v>
      </c>
      <c r="D13">
        <v>954213.02</v>
      </c>
      <c r="E13">
        <v>12176916.42</v>
      </c>
      <c r="F13">
        <v>11792357.049999999</v>
      </c>
      <c r="G13">
        <v>497033</v>
      </c>
      <c r="H13">
        <v>0</v>
      </c>
      <c r="I13">
        <v>810576.6</v>
      </c>
      <c r="J13">
        <v>11895325.26</v>
      </c>
      <c r="K13">
        <v>11735435.460000003</v>
      </c>
      <c r="L13">
        <v>541103</v>
      </c>
      <c r="M13">
        <v>0</v>
      </c>
      <c r="N13">
        <v>1781513.22</v>
      </c>
      <c r="O13">
        <v>13060323.210000001</v>
      </c>
      <c r="P13">
        <v>11907852.530000001</v>
      </c>
      <c r="Q13">
        <v>544592</v>
      </c>
      <c r="R13">
        <v>0</v>
      </c>
      <c r="S13">
        <v>3585945.68</v>
      </c>
      <c r="T13">
        <v>13078409.279999999</v>
      </c>
      <c r="U13">
        <v>11228767.660000002</v>
      </c>
      <c r="V13">
        <v>483260</v>
      </c>
      <c r="W13">
        <v>0</v>
      </c>
      <c r="X13">
        <v>5294515.96</v>
      </c>
      <c r="Y13">
        <v>12842009.25</v>
      </c>
      <c r="Z13">
        <v>11277101.07</v>
      </c>
      <c r="AA13">
        <v>481831</v>
      </c>
      <c r="AB13">
        <v>0</v>
      </c>
      <c r="AC13">
        <v>5555896.0599999996</v>
      </c>
      <c r="AD13">
        <v>12442303.289999999</v>
      </c>
      <c r="AE13">
        <v>12260366.119999999</v>
      </c>
      <c r="AF13">
        <v>502118</v>
      </c>
      <c r="AZ13">
        <v>126</v>
      </c>
      <c r="BA13" t="s">
        <v>595</v>
      </c>
      <c r="BB13">
        <v>14757781.609999999</v>
      </c>
      <c r="BC13">
        <v>14725752.310000001</v>
      </c>
      <c r="BD13">
        <v>530866</v>
      </c>
      <c r="BG13">
        <v>126</v>
      </c>
      <c r="BH13" t="s">
        <v>595</v>
      </c>
      <c r="BI13">
        <v>0</v>
      </c>
      <c r="BJ13">
        <v>2309880.7799999998</v>
      </c>
    </row>
    <row r="14" spans="1:62" x14ac:dyDescent="0.25">
      <c r="A14">
        <v>171</v>
      </c>
      <c r="B14" t="s">
        <v>206</v>
      </c>
      <c r="C14">
        <v>0</v>
      </c>
      <c r="D14">
        <v>-299553.14</v>
      </c>
      <c r="E14">
        <v>5240254.2699999996</v>
      </c>
      <c r="F14">
        <v>5045961.79</v>
      </c>
      <c r="G14">
        <v>197690</v>
      </c>
      <c r="H14">
        <v>0</v>
      </c>
      <c r="I14">
        <v>84744.04</v>
      </c>
      <c r="J14">
        <v>5259975.7699999996</v>
      </c>
      <c r="K14">
        <v>4849561.28</v>
      </c>
      <c r="L14">
        <v>213577</v>
      </c>
      <c r="M14">
        <v>0</v>
      </c>
      <c r="N14">
        <v>482641.77</v>
      </c>
      <c r="O14">
        <v>5494149.1600000001</v>
      </c>
      <c r="P14">
        <v>5041599.45</v>
      </c>
      <c r="Q14">
        <v>213575</v>
      </c>
      <c r="R14">
        <v>0</v>
      </c>
      <c r="S14">
        <v>989956.13</v>
      </c>
      <c r="T14">
        <v>5954384.54</v>
      </c>
      <c r="U14">
        <v>5465430.5099999998</v>
      </c>
      <c r="V14">
        <v>192194</v>
      </c>
      <c r="W14">
        <v>0</v>
      </c>
      <c r="X14">
        <v>1576580.63</v>
      </c>
      <c r="Y14">
        <v>6321125.0700000003</v>
      </c>
      <c r="Z14">
        <v>5739046.5700000003</v>
      </c>
      <c r="AA14">
        <v>197853</v>
      </c>
      <c r="AB14">
        <v>0</v>
      </c>
      <c r="AC14">
        <v>1685960.5</v>
      </c>
      <c r="AD14">
        <v>6066061.4900000002</v>
      </c>
      <c r="AE14">
        <v>5930451.6600000001</v>
      </c>
      <c r="AF14">
        <v>203979</v>
      </c>
      <c r="AZ14">
        <v>135</v>
      </c>
      <c r="BA14" t="s">
        <v>205</v>
      </c>
      <c r="BB14">
        <v>12442303.289999999</v>
      </c>
      <c r="BC14">
        <v>12260366.119999999</v>
      </c>
      <c r="BD14">
        <v>481831</v>
      </c>
      <c r="BG14">
        <v>135</v>
      </c>
      <c r="BH14" t="s">
        <v>205</v>
      </c>
      <c r="BI14">
        <v>0</v>
      </c>
      <c r="BJ14">
        <v>5509647.1500000004</v>
      </c>
    </row>
    <row r="15" spans="1:62" x14ac:dyDescent="0.25">
      <c r="A15">
        <v>225</v>
      </c>
      <c r="B15" t="s">
        <v>207</v>
      </c>
      <c r="C15">
        <v>0</v>
      </c>
      <c r="D15">
        <v>3415432.55</v>
      </c>
      <c r="E15">
        <v>44375678.210000001</v>
      </c>
      <c r="F15">
        <v>45544298.590000004</v>
      </c>
      <c r="G15">
        <v>1483016</v>
      </c>
      <c r="H15">
        <v>0</v>
      </c>
      <c r="I15">
        <v>4707240.16</v>
      </c>
      <c r="J15">
        <v>48324041.990000002</v>
      </c>
      <c r="K15">
        <v>46060080.920000002</v>
      </c>
      <c r="L15">
        <v>1627177</v>
      </c>
      <c r="M15">
        <v>0</v>
      </c>
      <c r="N15">
        <v>8663175.3100000005</v>
      </c>
      <c r="O15">
        <v>50623404.079999998</v>
      </c>
      <c r="P15">
        <v>46444266.68999999</v>
      </c>
      <c r="Q15">
        <v>1681357</v>
      </c>
      <c r="R15">
        <v>0</v>
      </c>
      <c r="S15">
        <v>14170780.52</v>
      </c>
      <c r="T15">
        <v>51600972.780000001</v>
      </c>
      <c r="U15">
        <v>45945827.580000006</v>
      </c>
      <c r="V15">
        <v>1516483</v>
      </c>
      <c r="W15">
        <v>0</v>
      </c>
      <c r="X15">
        <v>13461448.68</v>
      </c>
      <c r="Y15">
        <v>44075414.460000001</v>
      </c>
      <c r="Z15">
        <v>45451649.480000004</v>
      </c>
      <c r="AA15">
        <v>1518949</v>
      </c>
      <c r="AB15">
        <v>0</v>
      </c>
      <c r="AC15">
        <v>11094865.560000001</v>
      </c>
      <c r="AD15">
        <v>44924271.359999999</v>
      </c>
      <c r="AE15">
        <v>47506835.709999993</v>
      </c>
      <c r="AF15">
        <v>1573165</v>
      </c>
      <c r="AZ15">
        <v>171</v>
      </c>
      <c r="BA15" t="s">
        <v>206</v>
      </c>
      <c r="BB15">
        <v>6066061.4900000002</v>
      </c>
      <c r="BC15">
        <v>5930451.6600000001</v>
      </c>
      <c r="BD15">
        <v>197853</v>
      </c>
      <c r="BG15">
        <v>171</v>
      </c>
      <c r="BH15" t="s">
        <v>206</v>
      </c>
      <c r="BI15">
        <v>0</v>
      </c>
      <c r="BJ15">
        <v>1695560.33</v>
      </c>
    </row>
    <row r="16" spans="1:62" x14ac:dyDescent="0.25">
      <c r="A16">
        <v>234</v>
      </c>
      <c r="B16" t="s">
        <v>208</v>
      </c>
      <c r="C16">
        <v>179162.32</v>
      </c>
      <c r="D16">
        <v>1707322.3</v>
      </c>
      <c r="E16">
        <v>12517271.800000001</v>
      </c>
      <c r="F16">
        <v>12399349.310000002</v>
      </c>
      <c r="G16">
        <v>490841</v>
      </c>
      <c r="H16">
        <v>54012.28</v>
      </c>
      <c r="I16">
        <v>1894993.02</v>
      </c>
      <c r="J16">
        <v>12466281.18</v>
      </c>
      <c r="K16">
        <v>12261550.01</v>
      </c>
      <c r="L16">
        <v>526833</v>
      </c>
      <c r="M16">
        <v>33636</v>
      </c>
      <c r="N16">
        <v>2282540.59</v>
      </c>
      <c r="O16">
        <v>12832998.65</v>
      </c>
      <c r="P16">
        <v>12325947.359999999</v>
      </c>
      <c r="Q16">
        <v>530928</v>
      </c>
      <c r="R16">
        <v>25625.86</v>
      </c>
      <c r="S16">
        <v>3444698.91</v>
      </c>
      <c r="T16">
        <v>13492650.050000001</v>
      </c>
      <c r="U16">
        <v>12391328.33</v>
      </c>
      <c r="V16">
        <v>483603</v>
      </c>
      <c r="W16">
        <v>20696.07</v>
      </c>
      <c r="X16">
        <v>3834453.38</v>
      </c>
      <c r="Y16">
        <v>12867258.210000001</v>
      </c>
      <c r="Z16">
        <v>12629022.58</v>
      </c>
      <c r="AA16">
        <v>478941</v>
      </c>
      <c r="AB16">
        <v>19392.95</v>
      </c>
      <c r="AC16">
        <v>3650140.96</v>
      </c>
      <c r="AD16">
        <v>12992191.99</v>
      </c>
      <c r="AE16">
        <v>13226463.719999997</v>
      </c>
      <c r="AF16">
        <v>495339</v>
      </c>
      <c r="AZ16">
        <v>225</v>
      </c>
      <c r="BA16" t="s">
        <v>207</v>
      </c>
      <c r="BB16">
        <v>44924271.359999999</v>
      </c>
      <c r="BC16">
        <v>47506835.709999993</v>
      </c>
      <c r="BD16">
        <v>1518949</v>
      </c>
      <c r="BG16">
        <v>225</v>
      </c>
      <c r="BH16" t="s">
        <v>207</v>
      </c>
      <c r="BI16">
        <v>0</v>
      </c>
      <c r="BJ16">
        <v>8184000.1100000003</v>
      </c>
    </row>
    <row r="17" spans="1:62" x14ac:dyDescent="0.25">
      <c r="A17">
        <v>243</v>
      </c>
      <c r="B17" t="s">
        <v>209</v>
      </c>
      <c r="C17">
        <v>0</v>
      </c>
      <c r="D17">
        <v>103093.22</v>
      </c>
      <c r="E17">
        <v>3115356.42</v>
      </c>
      <c r="F17">
        <v>3023380.05</v>
      </c>
      <c r="G17">
        <v>117250</v>
      </c>
      <c r="H17">
        <v>0</v>
      </c>
      <c r="I17">
        <v>118341.96</v>
      </c>
      <c r="J17">
        <v>2964064.41</v>
      </c>
      <c r="K17">
        <v>2939107.3899999997</v>
      </c>
      <c r="L17">
        <v>124457</v>
      </c>
      <c r="M17">
        <v>0</v>
      </c>
      <c r="N17">
        <v>52381.89</v>
      </c>
      <c r="O17">
        <v>3057635.55</v>
      </c>
      <c r="P17">
        <v>3016174.78</v>
      </c>
      <c r="Q17">
        <v>125158</v>
      </c>
      <c r="R17">
        <v>0</v>
      </c>
      <c r="S17">
        <v>153393.56</v>
      </c>
      <c r="T17">
        <v>2963261.65</v>
      </c>
      <c r="U17">
        <v>2875055.87</v>
      </c>
      <c r="V17">
        <v>110959</v>
      </c>
      <c r="W17">
        <v>0</v>
      </c>
      <c r="X17">
        <v>491907.49</v>
      </c>
      <c r="Y17">
        <v>3004487.37</v>
      </c>
      <c r="Z17">
        <v>2625050.04</v>
      </c>
      <c r="AA17">
        <v>111779</v>
      </c>
      <c r="AB17">
        <v>0</v>
      </c>
      <c r="AC17">
        <v>377667.6</v>
      </c>
      <c r="AD17">
        <v>3156592.44</v>
      </c>
      <c r="AE17">
        <v>3298871.07</v>
      </c>
      <c r="AF17">
        <v>116016</v>
      </c>
      <c r="AZ17">
        <v>234</v>
      </c>
      <c r="BA17" t="s">
        <v>208</v>
      </c>
      <c r="BB17">
        <v>12992191.99</v>
      </c>
      <c r="BC17">
        <v>13226463.719999997</v>
      </c>
      <c r="BD17">
        <v>478941</v>
      </c>
      <c r="BG17">
        <v>234</v>
      </c>
      <c r="BH17" t="s">
        <v>208</v>
      </c>
      <c r="BI17">
        <v>18416.05</v>
      </c>
      <c r="BJ17">
        <v>3234614.88</v>
      </c>
    </row>
    <row r="18" spans="1:62" x14ac:dyDescent="0.25">
      <c r="A18">
        <v>261</v>
      </c>
      <c r="B18" t="s">
        <v>210</v>
      </c>
      <c r="C18">
        <v>0</v>
      </c>
      <c r="D18">
        <v>-1792434.8</v>
      </c>
      <c r="E18">
        <v>66802607.240000002</v>
      </c>
      <c r="F18">
        <v>69881541.939999998</v>
      </c>
      <c r="G18">
        <v>2601133</v>
      </c>
      <c r="H18">
        <v>0</v>
      </c>
      <c r="I18">
        <v>-2078767.24</v>
      </c>
      <c r="J18">
        <v>68532033.879999995</v>
      </c>
      <c r="K18">
        <v>70977964.170000002</v>
      </c>
      <c r="L18">
        <v>2970555</v>
      </c>
      <c r="M18">
        <v>0</v>
      </c>
      <c r="N18">
        <v>274339.02</v>
      </c>
      <c r="O18">
        <v>81727960.569999993</v>
      </c>
      <c r="P18">
        <v>78120732.780000001</v>
      </c>
      <c r="Q18">
        <v>3203691</v>
      </c>
      <c r="R18">
        <v>0</v>
      </c>
      <c r="S18">
        <v>3970003.65</v>
      </c>
      <c r="T18">
        <v>85944192.510000005</v>
      </c>
      <c r="U18">
        <v>82666885.810000017</v>
      </c>
      <c r="V18">
        <v>3133101</v>
      </c>
      <c r="W18">
        <v>804200</v>
      </c>
      <c r="X18">
        <v>2799498.62</v>
      </c>
      <c r="Y18">
        <v>87886330.549999997</v>
      </c>
      <c r="Z18">
        <v>89506064.359999999</v>
      </c>
      <c r="AA18">
        <v>3335144</v>
      </c>
      <c r="AB18">
        <v>804200</v>
      </c>
      <c r="AC18">
        <v>2666695.83</v>
      </c>
      <c r="AD18">
        <v>95585568.560000002</v>
      </c>
      <c r="AE18">
        <v>95166370.460000008</v>
      </c>
      <c r="AF18">
        <v>3638206</v>
      </c>
      <c r="AZ18">
        <v>243</v>
      </c>
      <c r="BA18" t="s">
        <v>209</v>
      </c>
      <c r="BB18">
        <v>3156592.44</v>
      </c>
      <c r="BC18">
        <v>3298871.07</v>
      </c>
      <c r="BD18">
        <v>111779</v>
      </c>
      <c r="BG18">
        <v>243</v>
      </c>
      <c r="BH18" t="s">
        <v>209</v>
      </c>
      <c r="BI18">
        <v>0</v>
      </c>
      <c r="BJ18">
        <v>535739.86</v>
      </c>
    </row>
    <row r="19" spans="1:62" x14ac:dyDescent="0.25">
      <c r="A19">
        <v>279</v>
      </c>
      <c r="B19" t="s">
        <v>211</v>
      </c>
      <c r="C19">
        <v>0</v>
      </c>
      <c r="D19">
        <v>873510.76</v>
      </c>
      <c r="E19">
        <v>7250816.5099999998</v>
      </c>
      <c r="F19">
        <v>7066557.0600000005</v>
      </c>
      <c r="G19">
        <v>273857</v>
      </c>
      <c r="H19">
        <v>0</v>
      </c>
      <c r="I19">
        <v>504424.08</v>
      </c>
      <c r="J19">
        <v>7074363.3499999996</v>
      </c>
      <c r="K19">
        <v>7354167.9700000007</v>
      </c>
      <c r="L19">
        <v>327394</v>
      </c>
      <c r="M19">
        <v>0</v>
      </c>
      <c r="N19">
        <v>485000.02</v>
      </c>
      <c r="O19">
        <v>7508353.9299999997</v>
      </c>
      <c r="P19">
        <v>7357588.0299999993</v>
      </c>
      <c r="Q19">
        <v>331142</v>
      </c>
      <c r="R19">
        <v>0</v>
      </c>
      <c r="S19">
        <v>840876.92</v>
      </c>
      <c r="T19">
        <v>8447034.6400000006</v>
      </c>
      <c r="U19">
        <v>8069299.04</v>
      </c>
      <c r="V19">
        <v>312803</v>
      </c>
      <c r="W19">
        <v>0</v>
      </c>
      <c r="X19">
        <v>1029743.88</v>
      </c>
      <c r="Y19">
        <v>8488447.4199999999</v>
      </c>
      <c r="Z19">
        <v>8378077.2299999995</v>
      </c>
      <c r="AA19">
        <v>327548</v>
      </c>
      <c r="AB19">
        <v>0</v>
      </c>
      <c r="AC19">
        <v>1205296.3400000001</v>
      </c>
      <c r="AD19">
        <v>8779577.5999999996</v>
      </c>
      <c r="AE19">
        <v>8545971.3800000008</v>
      </c>
      <c r="AF19">
        <v>344720</v>
      </c>
      <c r="AZ19">
        <v>261</v>
      </c>
      <c r="BA19" t="s">
        <v>210</v>
      </c>
      <c r="BB19">
        <v>95585568.560000002</v>
      </c>
      <c r="BC19">
        <v>95166370.460000008</v>
      </c>
      <c r="BD19">
        <v>3335144</v>
      </c>
      <c r="BG19">
        <v>261</v>
      </c>
      <c r="BH19" t="s">
        <v>210</v>
      </c>
      <c r="BI19">
        <v>804200</v>
      </c>
      <c r="BJ19">
        <v>5670243.9299999997</v>
      </c>
    </row>
    <row r="20" spans="1:62" x14ac:dyDescent="0.25">
      <c r="A20">
        <v>355</v>
      </c>
      <c r="B20" t="s">
        <v>212</v>
      </c>
      <c r="C20">
        <v>0</v>
      </c>
      <c r="D20">
        <v>1234344.24</v>
      </c>
      <c r="E20">
        <v>3794179.33</v>
      </c>
      <c r="F20">
        <v>3420847.58</v>
      </c>
      <c r="G20">
        <v>138265</v>
      </c>
      <c r="H20">
        <v>800000</v>
      </c>
      <c r="I20">
        <v>394288.48</v>
      </c>
      <c r="J20">
        <v>3310280.81</v>
      </c>
      <c r="K20">
        <v>3203340.38</v>
      </c>
      <c r="L20">
        <v>147136</v>
      </c>
      <c r="M20">
        <v>0</v>
      </c>
      <c r="N20">
        <v>159842.31</v>
      </c>
      <c r="O20">
        <v>3236572.65</v>
      </c>
      <c r="P20">
        <v>3509837.2900000005</v>
      </c>
      <c r="Q20">
        <v>147351</v>
      </c>
      <c r="R20">
        <v>0</v>
      </c>
      <c r="S20">
        <v>303203.57</v>
      </c>
      <c r="T20">
        <v>3503181.24</v>
      </c>
      <c r="U20">
        <v>3294481.17</v>
      </c>
      <c r="V20">
        <v>128599</v>
      </c>
      <c r="W20">
        <v>0</v>
      </c>
      <c r="X20">
        <v>1203975.32</v>
      </c>
      <c r="Y20">
        <v>3463539.78</v>
      </c>
      <c r="Z20">
        <v>3435509.04</v>
      </c>
      <c r="AA20">
        <v>127027</v>
      </c>
      <c r="AB20">
        <v>0</v>
      </c>
      <c r="AC20">
        <v>1139524.3</v>
      </c>
      <c r="AD20">
        <v>3379509.25</v>
      </c>
      <c r="AE20">
        <v>3391955.84</v>
      </c>
      <c r="AF20">
        <v>133534</v>
      </c>
      <c r="AZ20">
        <v>279</v>
      </c>
      <c r="BA20" t="s">
        <v>211</v>
      </c>
      <c r="BB20">
        <v>8779577.5999999996</v>
      </c>
      <c r="BC20">
        <v>8545971.3800000008</v>
      </c>
      <c r="BD20">
        <v>327548</v>
      </c>
      <c r="BG20">
        <v>279</v>
      </c>
      <c r="BH20" t="s">
        <v>211</v>
      </c>
      <c r="BI20">
        <v>0</v>
      </c>
      <c r="BJ20">
        <v>1083919.25</v>
      </c>
    </row>
    <row r="21" spans="1:62" x14ac:dyDescent="0.25">
      <c r="A21">
        <v>387</v>
      </c>
      <c r="B21" t="s">
        <v>213</v>
      </c>
      <c r="C21">
        <v>800000</v>
      </c>
      <c r="D21">
        <v>46853.37</v>
      </c>
      <c r="E21">
        <v>13926649.369999999</v>
      </c>
      <c r="F21">
        <v>14712976.059999999</v>
      </c>
      <c r="G21">
        <v>518992</v>
      </c>
      <c r="H21">
        <v>0</v>
      </c>
      <c r="I21">
        <v>698994.91</v>
      </c>
      <c r="J21">
        <v>14501730.67</v>
      </c>
      <c r="K21">
        <v>14485261.559999999</v>
      </c>
      <c r="L21">
        <v>569666</v>
      </c>
      <c r="M21">
        <v>0</v>
      </c>
      <c r="N21">
        <v>1336921.51</v>
      </c>
      <c r="O21">
        <v>15271876.140000001</v>
      </c>
      <c r="P21">
        <v>14452247.760000002</v>
      </c>
      <c r="Q21">
        <v>581707</v>
      </c>
      <c r="R21">
        <v>0</v>
      </c>
      <c r="S21">
        <v>1261101.8400000001</v>
      </c>
      <c r="T21">
        <v>15200122.82</v>
      </c>
      <c r="U21">
        <v>15434964.52</v>
      </c>
      <c r="V21">
        <v>525725</v>
      </c>
      <c r="W21">
        <v>0</v>
      </c>
      <c r="X21">
        <v>14951.31</v>
      </c>
      <c r="Y21">
        <v>15297613.439999999</v>
      </c>
      <c r="Z21">
        <v>16565710.809999999</v>
      </c>
      <c r="AA21">
        <v>541501</v>
      </c>
      <c r="AB21">
        <v>0</v>
      </c>
      <c r="AC21">
        <v>-578501.23</v>
      </c>
      <c r="AD21">
        <v>16435119.1</v>
      </c>
      <c r="AE21">
        <v>17015335.25</v>
      </c>
      <c r="AF21">
        <v>568211</v>
      </c>
      <c r="AZ21">
        <v>355</v>
      </c>
      <c r="BA21" t="s">
        <v>212</v>
      </c>
      <c r="BB21">
        <v>3379509.25</v>
      </c>
      <c r="BC21">
        <v>3391955.84</v>
      </c>
      <c r="BD21">
        <v>127027</v>
      </c>
      <c r="BG21">
        <v>355</v>
      </c>
      <c r="BH21" t="s">
        <v>212</v>
      </c>
      <c r="BI21">
        <v>0</v>
      </c>
      <c r="BJ21">
        <v>634002.1</v>
      </c>
    </row>
    <row r="22" spans="1:62" x14ac:dyDescent="0.25">
      <c r="A22">
        <v>414</v>
      </c>
      <c r="B22" t="s">
        <v>214</v>
      </c>
      <c r="C22">
        <v>0</v>
      </c>
      <c r="D22">
        <v>-27550.32</v>
      </c>
      <c r="E22">
        <v>5569789.7800000003</v>
      </c>
      <c r="F22">
        <v>5722925.3800000008</v>
      </c>
      <c r="G22">
        <v>214494</v>
      </c>
      <c r="H22">
        <v>0</v>
      </c>
      <c r="I22">
        <v>-13897.36</v>
      </c>
      <c r="J22">
        <v>5612236.1299999999</v>
      </c>
      <c r="K22">
        <v>5543392.7000000002</v>
      </c>
      <c r="L22">
        <v>228735</v>
      </c>
      <c r="M22">
        <v>0</v>
      </c>
      <c r="N22">
        <v>-32234.68</v>
      </c>
      <c r="O22">
        <v>5964264.7300000004</v>
      </c>
      <c r="P22">
        <v>5844001.1700000009</v>
      </c>
      <c r="Q22">
        <v>229561</v>
      </c>
      <c r="R22">
        <v>0</v>
      </c>
      <c r="S22">
        <v>531260.6</v>
      </c>
      <c r="T22">
        <v>6191732.9199999999</v>
      </c>
      <c r="U22">
        <v>5635902.4000000013</v>
      </c>
      <c r="V22">
        <v>202344</v>
      </c>
      <c r="W22">
        <v>0</v>
      </c>
      <c r="X22">
        <v>826182.48</v>
      </c>
      <c r="Y22">
        <v>5762135.8099999996</v>
      </c>
      <c r="Z22">
        <v>5592685.6800000006</v>
      </c>
      <c r="AA22">
        <v>199626</v>
      </c>
      <c r="AB22">
        <v>0</v>
      </c>
      <c r="AC22">
        <v>1072644.45</v>
      </c>
      <c r="AD22">
        <v>6058187.6200000001</v>
      </c>
      <c r="AE22">
        <v>5833844.9400000004</v>
      </c>
      <c r="AF22">
        <v>206191</v>
      </c>
      <c r="AZ22">
        <v>387</v>
      </c>
      <c r="BA22" t="s">
        <v>213</v>
      </c>
      <c r="BB22">
        <v>16435119.1</v>
      </c>
      <c r="BC22">
        <v>17015335.25</v>
      </c>
      <c r="BD22">
        <v>541501</v>
      </c>
      <c r="BG22">
        <v>387</v>
      </c>
      <c r="BH22" t="s">
        <v>213</v>
      </c>
      <c r="BI22">
        <v>0</v>
      </c>
      <c r="BJ22">
        <v>-624390.68999999994</v>
      </c>
    </row>
    <row r="23" spans="1:62" x14ac:dyDescent="0.25">
      <c r="A23">
        <v>423</v>
      </c>
      <c r="B23" t="s">
        <v>215</v>
      </c>
      <c r="C23">
        <v>0</v>
      </c>
      <c r="D23">
        <v>502001.27</v>
      </c>
      <c r="E23">
        <v>2793010.36</v>
      </c>
      <c r="F23">
        <v>2528660.98</v>
      </c>
      <c r="G23">
        <v>106450</v>
      </c>
      <c r="H23">
        <v>0</v>
      </c>
      <c r="I23">
        <v>679152.21</v>
      </c>
      <c r="J23">
        <v>2735826.23</v>
      </c>
      <c r="K23">
        <v>2492019.2000000002</v>
      </c>
      <c r="L23">
        <v>115289</v>
      </c>
      <c r="M23">
        <v>0</v>
      </c>
      <c r="N23">
        <v>430540.77</v>
      </c>
      <c r="O23">
        <v>2842306.47</v>
      </c>
      <c r="P23">
        <v>2568998.17</v>
      </c>
      <c r="Q23">
        <v>116550</v>
      </c>
      <c r="R23">
        <v>0</v>
      </c>
      <c r="S23">
        <v>519694.45</v>
      </c>
      <c r="T23">
        <v>3186693.08</v>
      </c>
      <c r="U23">
        <v>3058705.89</v>
      </c>
      <c r="V23">
        <v>101252</v>
      </c>
      <c r="W23">
        <v>0</v>
      </c>
      <c r="X23">
        <v>681094.58</v>
      </c>
      <c r="Y23">
        <v>3203186.09</v>
      </c>
      <c r="Z23">
        <v>3081545.84</v>
      </c>
      <c r="AA23">
        <v>101082</v>
      </c>
      <c r="AB23">
        <v>0</v>
      </c>
      <c r="AC23">
        <v>686003.38</v>
      </c>
      <c r="AD23">
        <v>3267823.78</v>
      </c>
      <c r="AE23">
        <v>3254481.48</v>
      </c>
      <c r="AF23">
        <v>104933</v>
      </c>
      <c r="AZ23">
        <v>414</v>
      </c>
      <c r="BA23" t="s">
        <v>214</v>
      </c>
      <c r="BB23">
        <v>6058187.6200000001</v>
      </c>
      <c r="BC23">
        <v>5833844.9400000004</v>
      </c>
      <c r="BD23">
        <v>199626</v>
      </c>
      <c r="BG23">
        <v>414</v>
      </c>
      <c r="BH23" t="s">
        <v>214</v>
      </c>
      <c r="BI23">
        <v>0</v>
      </c>
      <c r="BJ23">
        <v>1073977.31</v>
      </c>
    </row>
    <row r="24" spans="1:62" x14ac:dyDescent="0.25">
      <c r="A24">
        <v>540</v>
      </c>
      <c r="B24" t="s">
        <v>216</v>
      </c>
      <c r="C24">
        <v>0</v>
      </c>
      <c r="D24">
        <v>1029922.48</v>
      </c>
      <c r="E24">
        <v>6129911.3300000001</v>
      </c>
      <c r="F24">
        <v>6066268.4700000007</v>
      </c>
      <c r="G24">
        <v>223513</v>
      </c>
      <c r="H24">
        <v>0</v>
      </c>
      <c r="I24">
        <v>988540.11</v>
      </c>
      <c r="J24">
        <v>5974709.9400000004</v>
      </c>
      <c r="K24">
        <v>6023057.8500000006</v>
      </c>
      <c r="L24">
        <v>257444</v>
      </c>
      <c r="M24">
        <v>0</v>
      </c>
      <c r="N24">
        <v>1070284.81</v>
      </c>
      <c r="O24">
        <v>6140525.1200000001</v>
      </c>
      <c r="P24">
        <v>6035023.8499999996</v>
      </c>
      <c r="Q24">
        <v>257518</v>
      </c>
      <c r="R24">
        <v>0</v>
      </c>
      <c r="S24">
        <v>1229686.45</v>
      </c>
      <c r="T24">
        <v>6299422.2699999996</v>
      </c>
      <c r="U24">
        <v>6118804.7400000002</v>
      </c>
      <c r="V24">
        <v>235906</v>
      </c>
      <c r="W24">
        <v>0</v>
      </c>
      <c r="X24">
        <v>1142980.51</v>
      </c>
      <c r="Y24">
        <v>6310213.6100000003</v>
      </c>
      <c r="Z24">
        <v>6352683.8399999999</v>
      </c>
      <c r="AA24">
        <v>232251</v>
      </c>
      <c r="AB24">
        <v>0</v>
      </c>
      <c r="AC24">
        <v>1123262.69</v>
      </c>
      <c r="AD24">
        <v>6286807.3899999997</v>
      </c>
      <c r="AE24">
        <v>6281766.2800000012</v>
      </c>
      <c r="AF24">
        <v>238890</v>
      </c>
      <c r="AZ24">
        <v>423</v>
      </c>
      <c r="BA24" t="s">
        <v>215</v>
      </c>
      <c r="BB24">
        <v>3267823.78</v>
      </c>
      <c r="BC24">
        <v>3254481.48</v>
      </c>
      <c r="BD24">
        <v>101082</v>
      </c>
      <c r="BG24">
        <v>423</v>
      </c>
      <c r="BH24" t="s">
        <v>215</v>
      </c>
      <c r="BI24">
        <v>0</v>
      </c>
      <c r="BJ24">
        <v>1064169.6599999999</v>
      </c>
    </row>
    <row r="25" spans="1:62" x14ac:dyDescent="0.25">
      <c r="A25">
        <v>472</v>
      </c>
      <c r="B25" t="s">
        <v>217</v>
      </c>
      <c r="C25">
        <v>0</v>
      </c>
      <c r="D25">
        <v>-290032.05</v>
      </c>
      <c r="E25">
        <v>12533023.210000001</v>
      </c>
      <c r="F25">
        <v>12337198.950000001</v>
      </c>
      <c r="G25">
        <v>485745</v>
      </c>
      <c r="H25">
        <v>0</v>
      </c>
      <c r="I25">
        <v>-221684.49</v>
      </c>
      <c r="J25">
        <v>12645593.720000001</v>
      </c>
      <c r="K25">
        <v>12515094.619999999</v>
      </c>
      <c r="L25">
        <v>554040</v>
      </c>
      <c r="M25">
        <v>0</v>
      </c>
      <c r="N25">
        <v>445663.51</v>
      </c>
      <c r="O25">
        <v>13830943.529999999</v>
      </c>
      <c r="P25">
        <v>13103274.389999999</v>
      </c>
      <c r="Q25">
        <v>573796</v>
      </c>
      <c r="R25">
        <v>0</v>
      </c>
      <c r="S25">
        <v>98171.32</v>
      </c>
      <c r="T25">
        <v>14750923.15</v>
      </c>
      <c r="U25">
        <v>14885485.879999999</v>
      </c>
      <c r="V25">
        <v>541828</v>
      </c>
      <c r="W25">
        <v>0</v>
      </c>
      <c r="X25">
        <v>-464794.31</v>
      </c>
      <c r="Y25">
        <v>14731795.710000001</v>
      </c>
      <c r="Z25">
        <v>15226078.33</v>
      </c>
      <c r="AA25">
        <v>549578</v>
      </c>
      <c r="AB25">
        <v>0</v>
      </c>
      <c r="AC25">
        <v>925525.44</v>
      </c>
      <c r="AD25">
        <v>15598583.85</v>
      </c>
      <c r="AE25">
        <v>14433949.530000001</v>
      </c>
      <c r="AF25">
        <v>583688</v>
      </c>
      <c r="AZ25">
        <v>472</v>
      </c>
      <c r="BA25" t="s">
        <v>217</v>
      </c>
      <c r="BB25">
        <v>15598583.85</v>
      </c>
      <c r="BC25">
        <v>14433949.530000001</v>
      </c>
      <c r="BD25">
        <v>549578</v>
      </c>
      <c r="BG25">
        <v>472</v>
      </c>
      <c r="BH25" t="s">
        <v>217</v>
      </c>
      <c r="BI25">
        <v>0</v>
      </c>
      <c r="BJ25">
        <v>2484809.71</v>
      </c>
    </row>
    <row r="26" spans="1:62" x14ac:dyDescent="0.25">
      <c r="A26">
        <v>504</v>
      </c>
      <c r="B26" t="s">
        <v>218</v>
      </c>
      <c r="C26">
        <v>19603.16</v>
      </c>
      <c r="D26">
        <v>449167.83</v>
      </c>
      <c r="E26">
        <v>6373023.8700000001</v>
      </c>
      <c r="F26">
        <v>6313917.7100000009</v>
      </c>
      <c r="G26">
        <v>244531</v>
      </c>
      <c r="H26">
        <v>15220.25</v>
      </c>
      <c r="I26">
        <v>766760.32</v>
      </c>
      <c r="J26">
        <v>7206580.1200000001</v>
      </c>
      <c r="K26">
        <v>6835061.8000000007</v>
      </c>
      <c r="L26">
        <v>264023</v>
      </c>
      <c r="M26">
        <v>6084.21</v>
      </c>
      <c r="N26">
        <v>1269429.72</v>
      </c>
      <c r="O26">
        <v>7613871.7199999997</v>
      </c>
      <c r="P26">
        <v>7058197.8299999991</v>
      </c>
      <c r="Q26">
        <v>266330</v>
      </c>
      <c r="R26">
        <v>10500.55</v>
      </c>
      <c r="S26">
        <v>1697215.56</v>
      </c>
      <c r="T26">
        <v>7919420.5999999996</v>
      </c>
      <c r="U26">
        <v>7395159.3900000006</v>
      </c>
      <c r="V26">
        <v>237537</v>
      </c>
      <c r="W26">
        <v>9180.31</v>
      </c>
      <c r="X26">
        <v>1752409.29</v>
      </c>
      <c r="Y26">
        <v>7578128.3099999996</v>
      </c>
      <c r="Z26">
        <v>7344888.0799999991</v>
      </c>
      <c r="AA26">
        <v>242190</v>
      </c>
      <c r="AB26">
        <v>6856.11</v>
      </c>
      <c r="AC26">
        <v>1456175.94</v>
      </c>
      <c r="AD26">
        <v>7194243.7400000002</v>
      </c>
      <c r="AE26">
        <v>7525911.54</v>
      </c>
      <c r="AF26">
        <v>254935</v>
      </c>
      <c r="AZ26">
        <v>504</v>
      </c>
      <c r="BA26" t="s">
        <v>218</v>
      </c>
      <c r="BB26">
        <v>7194243.7400000002</v>
      </c>
      <c r="BC26">
        <v>7525911.54</v>
      </c>
      <c r="BD26">
        <v>242190</v>
      </c>
      <c r="BG26">
        <v>504</v>
      </c>
      <c r="BH26" t="s">
        <v>218</v>
      </c>
      <c r="BI26">
        <v>3827.38</v>
      </c>
      <c r="BJ26">
        <v>1426084.31</v>
      </c>
    </row>
    <row r="27" spans="1:62" x14ac:dyDescent="0.25">
      <c r="A27">
        <v>513</v>
      </c>
      <c r="B27" t="s">
        <v>219</v>
      </c>
      <c r="C27">
        <v>0</v>
      </c>
      <c r="D27">
        <v>678101.37</v>
      </c>
      <c r="E27">
        <v>3825610.89</v>
      </c>
      <c r="F27">
        <v>3630093.88</v>
      </c>
      <c r="G27">
        <v>134025</v>
      </c>
      <c r="H27">
        <v>0</v>
      </c>
      <c r="I27">
        <v>662396.22</v>
      </c>
      <c r="J27">
        <v>3721941.64</v>
      </c>
      <c r="K27">
        <v>3713723.1400000006</v>
      </c>
      <c r="L27">
        <v>142330</v>
      </c>
      <c r="M27">
        <v>0</v>
      </c>
      <c r="N27">
        <v>741099.73</v>
      </c>
      <c r="O27">
        <v>4120365.59</v>
      </c>
      <c r="P27">
        <v>4017535.7800000003</v>
      </c>
      <c r="Q27">
        <v>142721</v>
      </c>
      <c r="R27">
        <v>0</v>
      </c>
      <c r="S27">
        <v>877995.26</v>
      </c>
      <c r="T27">
        <v>4246252.91</v>
      </c>
      <c r="U27">
        <v>4108485.28</v>
      </c>
      <c r="V27">
        <v>143190</v>
      </c>
      <c r="W27">
        <v>0</v>
      </c>
      <c r="X27">
        <v>844769.93</v>
      </c>
      <c r="Y27">
        <v>4167781.7</v>
      </c>
      <c r="Z27">
        <v>4149979.5800000005</v>
      </c>
      <c r="AA27">
        <v>142157</v>
      </c>
      <c r="AB27">
        <v>0</v>
      </c>
      <c r="AC27">
        <v>989193.97</v>
      </c>
      <c r="AD27">
        <v>4151365.94</v>
      </c>
      <c r="AE27">
        <v>4005247.0900000003</v>
      </c>
      <c r="AF27">
        <v>142777</v>
      </c>
      <c r="AZ27">
        <v>513</v>
      </c>
      <c r="BA27" t="s">
        <v>219</v>
      </c>
      <c r="BB27">
        <v>4151365.94</v>
      </c>
      <c r="BC27">
        <v>4005247.0900000003</v>
      </c>
      <c r="BD27">
        <v>142157</v>
      </c>
      <c r="BG27">
        <v>513</v>
      </c>
      <c r="BH27" t="s">
        <v>219</v>
      </c>
      <c r="BI27">
        <v>0</v>
      </c>
      <c r="BJ27">
        <v>979383.51</v>
      </c>
    </row>
    <row r="28" spans="1:62" x14ac:dyDescent="0.25">
      <c r="A28">
        <v>549</v>
      </c>
      <c r="B28" t="s">
        <v>220</v>
      </c>
      <c r="C28">
        <v>0</v>
      </c>
      <c r="D28">
        <v>317196.25</v>
      </c>
      <c r="E28">
        <v>5262185.07</v>
      </c>
      <c r="F28">
        <v>5166640.2700000005</v>
      </c>
      <c r="G28">
        <v>198108</v>
      </c>
      <c r="H28">
        <v>0</v>
      </c>
      <c r="I28">
        <v>283328.39</v>
      </c>
      <c r="J28">
        <v>5561343.1699999999</v>
      </c>
      <c r="K28">
        <v>5581053.8599999994</v>
      </c>
      <c r="L28">
        <v>219708</v>
      </c>
      <c r="M28">
        <v>0</v>
      </c>
      <c r="N28">
        <v>744704.91</v>
      </c>
      <c r="O28">
        <v>5761817.7400000002</v>
      </c>
      <c r="P28">
        <v>5282883.18</v>
      </c>
      <c r="Q28">
        <v>221707</v>
      </c>
      <c r="R28">
        <v>0</v>
      </c>
      <c r="S28">
        <v>496221.41</v>
      </c>
      <c r="T28">
        <v>5480568.9199999999</v>
      </c>
      <c r="U28">
        <v>5681292.8000000007</v>
      </c>
      <c r="V28">
        <v>195884</v>
      </c>
      <c r="W28">
        <v>0</v>
      </c>
      <c r="X28">
        <v>474611.58</v>
      </c>
      <c r="Y28">
        <v>5389683.5999999996</v>
      </c>
      <c r="Z28">
        <v>5444334.3499999996</v>
      </c>
      <c r="AA28">
        <v>194839</v>
      </c>
      <c r="AB28">
        <v>0</v>
      </c>
      <c r="AC28">
        <v>342960.06</v>
      </c>
      <c r="AD28">
        <v>5303408.01</v>
      </c>
      <c r="AE28">
        <v>5401750.7700000005</v>
      </c>
      <c r="AF28">
        <v>199714</v>
      </c>
      <c r="AZ28">
        <v>540</v>
      </c>
      <c r="BA28" t="s">
        <v>599</v>
      </c>
      <c r="BB28">
        <v>6286807.3899999997</v>
      </c>
      <c r="BC28">
        <v>6281766.2800000012</v>
      </c>
      <c r="BD28">
        <v>232251</v>
      </c>
      <c r="BG28">
        <v>540</v>
      </c>
      <c r="BH28" t="s">
        <v>599</v>
      </c>
      <c r="BI28">
        <v>0</v>
      </c>
      <c r="BJ28">
        <v>1276361.82</v>
      </c>
    </row>
    <row r="29" spans="1:62" x14ac:dyDescent="0.25">
      <c r="A29">
        <v>576</v>
      </c>
      <c r="B29" t="s">
        <v>221</v>
      </c>
      <c r="C29">
        <v>0</v>
      </c>
      <c r="D29">
        <v>887738.05</v>
      </c>
      <c r="E29">
        <v>5824312.1699999999</v>
      </c>
      <c r="F29">
        <v>5639332.1200000001</v>
      </c>
      <c r="G29">
        <v>216427</v>
      </c>
      <c r="H29">
        <v>0</v>
      </c>
      <c r="I29">
        <v>1190746.06</v>
      </c>
      <c r="J29">
        <v>5651347.2400000002</v>
      </c>
      <c r="K29">
        <v>5311928.2</v>
      </c>
      <c r="L29">
        <v>236563</v>
      </c>
      <c r="M29">
        <v>0</v>
      </c>
      <c r="N29">
        <v>1532692.41</v>
      </c>
      <c r="O29">
        <v>6109101.1200000001</v>
      </c>
      <c r="P29">
        <v>5740705.2799999993</v>
      </c>
      <c r="Q29">
        <v>237896</v>
      </c>
      <c r="R29">
        <v>0</v>
      </c>
      <c r="S29">
        <v>1653890.55</v>
      </c>
      <c r="T29">
        <v>5879529.5700000003</v>
      </c>
      <c r="U29">
        <v>5602481.4900000002</v>
      </c>
      <c r="V29">
        <v>209569</v>
      </c>
      <c r="W29">
        <v>0</v>
      </c>
      <c r="X29">
        <v>1238353.8500000001</v>
      </c>
      <c r="Y29">
        <v>5459808.2599999998</v>
      </c>
      <c r="Z29">
        <v>5785218.1100000003</v>
      </c>
      <c r="AA29">
        <v>211358</v>
      </c>
      <c r="AB29">
        <v>0</v>
      </c>
      <c r="AC29">
        <v>988565.36</v>
      </c>
      <c r="AD29">
        <v>5546938.1699999999</v>
      </c>
      <c r="AE29">
        <v>5693784.6500000004</v>
      </c>
      <c r="AF29">
        <v>218716</v>
      </c>
      <c r="AZ29">
        <v>549</v>
      </c>
      <c r="BA29" t="s">
        <v>220</v>
      </c>
      <c r="BB29">
        <v>5303408.01</v>
      </c>
      <c r="BC29">
        <v>5401750.7700000005</v>
      </c>
      <c r="BD29">
        <v>194839</v>
      </c>
      <c r="BG29">
        <v>549</v>
      </c>
      <c r="BH29" t="s">
        <v>220</v>
      </c>
      <c r="BI29">
        <v>0</v>
      </c>
      <c r="BJ29">
        <v>468159.86</v>
      </c>
    </row>
    <row r="30" spans="1:62" x14ac:dyDescent="0.25">
      <c r="A30">
        <v>585</v>
      </c>
      <c r="B30" t="s">
        <v>222</v>
      </c>
      <c r="C30">
        <v>0</v>
      </c>
      <c r="D30">
        <v>796724.22</v>
      </c>
      <c r="E30">
        <v>6036466.1399999997</v>
      </c>
      <c r="F30">
        <v>5881442.9299999988</v>
      </c>
      <c r="G30">
        <v>244209</v>
      </c>
      <c r="H30">
        <v>0</v>
      </c>
      <c r="I30">
        <v>793431.56</v>
      </c>
      <c r="J30">
        <v>5979595.9699999997</v>
      </c>
      <c r="K30">
        <v>5877273.8800000008</v>
      </c>
      <c r="L30">
        <v>260399</v>
      </c>
      <c r="M30">
        <v>0</v>
      </c>
      <c r="N30">
        <v>1098179.1299999999</v>
      </c>
      <c r="O30">
        <v>6492179.7999999998</v>
      </c>
      <c r="P30">
        <v>6117629.1799999988</v>
      </c>
      <c r="Q30">
        <v>260052</v>
      </c>
      <c r="R30">
        <v>0</v>
      </c>
      <c r="S30">
        <v>1541240.25</v>
      </c>
      <c r="T30">
        <v>6548704.5</v>
      </c>
      <c r="U30">
        <v>6097796.4299999997</v>
      </c>
      <c r="V30">
        <v>232928</v>
      </c>
      <c r="W30">
        <v>0</v>
      </c>
      <c r="X30">
        <v>1283306.56</v>
      </c>
      <c r="Y30">
        <v>6241622.96</v>
      </c>
      <c r="Z30">
        <v>6494514.7299999995</v>
      </c>
      <c r="AA30">
        <v>231447</v>
      </c>
      <c r="AB30">
        <v>0</v>
      </c>
      <c r="AC30">
        <v>906824.62</v>
      </c>
      <c r="AD30">
        <v>6264986.9900000002</v>
      </c>
      <c r="AE30">
        <v>6603293.75</v>
      </c>
      <c r="AF30">
        <v>240626</v>
      </c>
      <c r="AZ30">
        <v>576</v>
      </c>
      <c r="BA30" t="s">
        <v>221</v>
      </c>
      <c r="BB30">
        <v>5546938.1699999999</v>
      </c>
      <c r="BC30">
        <v>5693784.6500000004</v>
      </c>
      <c r="BD30">
        <v>211358</v>
      </c>
      <c r="BG30">
        <v>576</v>
      </c>
      <c r="BH30" t="s">
        <v>221</v>
      </c>
      <c r="BI30">
        <v>0</v>
      </c>
      <c r="BJ30">
        <v>515725.88</v>
      </c>
    </row>
    <row r="31" spans="1:62" x14ac:dyDescent="0.25">
      <c r="A31">
        <v>594</v>
      </c>
      <c r="B31" t="s">
        <v>223</v>
      </c>
      <c r="C31">
        <v>0</v>
      </c>
      <c r="D31">
        <v>-113701.73</v>
      </c>
      <c r="E31">
        <v>7108602.6100000003</v>
      </c>
      <c r="F31">
        <v>7171752.4600000009</v>
      </c>
      <c r="G31">
        <v>270167</v>
      </c>
      <c r="H31">
        <v>0</v>
      </c>
      <c r="I31">
        <v>-598523</v>
      </c>
      <c r="J31">
        <v>6958509.6600000001</v>
      </c>
      <c r="K31">
        <v>7341225.1599999992</v>
      </c>
      <c r="L31">
        <v>313836</v>
      </c>
      <c r="M31">
        <v>0</v>
      </c>
      <c r="N31">
        <v>-344493.54</v>
      </c>
      <c r="O31">
        <v>7698936.8799999999</v>
      </c>
      <c r="P31">
        <v>7309625.21</v>
      </c>
      <c r="Q31">
        <v>314142</v>
      </c>
      <c r="R31">
        <v>0</v>
      </c>
      <c r="S31">
        <v>724340.57</v>
      </c>
      <c r="T31">
        <v>8097342.6900000004</v>
      </c>
      <c r="U31">
        <v>6901239.2699999996</v>
      </c>
      <c r="V31">
        <v>287967</v>
      </c>
      <c r="W31">
        <v>0</v>
      </c>
      <c r="X31">
        <v>1246692.9099999999</v>
      </c>
      <c r="Y31">
        <v>8141125.6399999997</v>
      </c>
      <c r="Z31">
        <v>7569590.8599999994</v>
      </c>
      <c r="AA31">
        <v>287837</v>
      </c>
      <c r="AB31">
        <v>0</v>
      </c>
      <c r="AC31">
        <v>1688178.02</v>
      </c>
      <c r="AD31">
        <v>8545719.9600000009</v>
      </c>
      <c r="AE31">
        <v>8026041.2399999993</v>
      </c>
      <c r="AF31">
        <v>314285</v>
      </c>
      <c r="AZ31">
        <v>585</v>
      </c>
      <c r="BA31" t="s">
        <v>222</v>
      </c>
      <c r="BB31">
        <v>6264986.9900000002</v>
      </c>
      <c r="BC31">
        <v>6603293.75</v>
      </c>
      <c r="BD31">
        <v>231447</v>
      </c>
      <c r="BG31">
        <v>585</v>
      </c>
      <c r="BH31" t="s">
        <v>222</v>
      </c>
      <c r="BI31">
        <v>0</v>
      </c>
      <c r="BJ31">
        <v>935484.81</v>
      </c>
    </row>
    <row r="32" spans="1:62" x14ac:dyDescent="0.25">
      <c r="A32">
        <v>603</v>
      </c>
      <c r="B32" t="s">
        <v>224</v>
      </c>
      <c r="C32">
        <v>0</v>
      </c>
      <c r="D32">
        <v>441381.89</v>
      </c>
      <c r="E32">
        <v>1794289.72</v>
      </c>
      <c r="F32">
        <v>1909419.34</v>
      </c>
      <c r="G32">
        <v>76498</v>
      </c>
      <c r="H32">
        <v>0</v>
      </c>
      <c r="I32">
        <v>157557.19</v>
      </c>
      <c r="J32">
        <v>1621283.76</v>
      </c>
      <c r="K32">
        <v>1879667.97</v>
      </c>
      <c r="L32">
        <v>80045</v>
      </c>
      <c r="M32">
        <v>0</v>
      </c>
      <c r="N32">
        <v>145918.57999999999</v>
      </c>
      <c r="O32">
        <v>1851731.86</v>
      </c>
      <c r="P32">
        <v>1872450.7300000002</v>
      </c>
      <c r="Q32">
        <v>81475</v>
      </c>
      <c r="R32">
        <v>0</v>
      </c>
      <c r="S32">
        <v>325254.55</v>
      </c>
      <c r="T32">
        <v>2099043.38</v>
      </c>
      <c r="U32">
        <v>1905657.7799999998</v>
      </c>
      <c r="V32">
        <v>71582</v>
      </c>
      <c r="W32">
        <v>0</v>
      </c>
      <c r="X32">
        <v>214215.35</v>
      </c>
      <c r="Y32">
        <v>1960689.85</v>
      </c>
      <c r="Z32">
        <v>2087837.6999999997</v>
      </c>
      <c r="AA32">
        <v>71641</v>
      </c>
      <c r="AB32">
        <v>0</v>
      </c>
      <c r="AC32">
        <v>335959.31</v>
      </c>
      <c r="AD32">
        <v>2233452.2400000002</v>
      </c>
      <c r="AE32">
        <v>2086765.3499999999</v>
      </c>
      <c r="AF32">
        <v>75740</v>
      </c>
      <c r="AZ32">
        <v>594</v>
      </c>
      <c r="BA32" t="s">
        <v>223</v>
      </c>
      <c r="BB32">
        <v>8545719.9600000009</v>
      </c>
      <c r="BC32">
        <v>8026041.2399999993</v>
      </c>
      <c r="BD32">
        <v>287837</v>
      </c>
      <c r="BG32">
        <v>594</v>
      </c>
      <c r="BH32" t="s">
        <v>223</v>
      </c>
      <c r="BI32">
        <v>0</v>
      </c>
      <c r="BJ32">
        <v>1689021.92</v>
      </c>
    </row>
    <row r="33" spans="1:62" x14ac:dyDescent="0.25">
      <c r="A33">
        <v>609</v>
      </c>
      <c r="B33" t="s">
        <v>225</v>
      </c>
      <c r="C33">
        <v>0</v>
      </c>
      <c r="D33">
        <v>824623.79</v>
      </c>
      <c r="E33">
        <v>14136082.24</v>
      </c>
      <c r="F33">
        <v>14777723.529999999</v>
      </c>
      <c r="G33">
        <v>578193</v>
      </c>
      <c r="H33">
        <v>0</v>
      </c>
      <c r="I33">
        <v>294245.5</v>
      </c>
      <c r="J33">
        <v>13974587.84</v>
      </c>
      <c r="K33">
        <v>14256794.170000002</v>
      </c>
      <c r="L33">
        <v>645657</v>
      </c>
      <c r="M33">
        <v>0</v>
      </c>
      <c r="N33">
        <v>1119975.21</v>
      </c>
      <c r="O33">
        <v>15369648.6</v>
      </c>
      <c r="P33">
        <v>14406077.829999998</v>
      </c>
      <c r="Q33">
        <v>656501</v>
      </c>
      <c r="R33">
        <v>0</v>
      </c>
      <c r="S33">
        <v>1943167.1</v>
      </c>
      <c r="T33">
        <v>15726960.85</v>
      </c>
      <c r="U33">
        <v>15013270.870000001</v>
      </c>
      <c r="V33">
        <v>593338</v>
      </c>
      <c r="W33">
        <v>0</v>
      </c>
      <c r="X33">
        <v>1965655.9</v>
      </c>
      <c r="Y33">
        <v>15549655.619999999</v>
      </c>
      <c r="Z33">
        <v>15564388.509999998</v>
      </c>
      <c r="AA33">
        <v>590339</v>
      </c>
      <c r="AB33">
        <v>0</v>
      </c>
      <c r="AC33">
        <v>2112422.83</v>
      </c>
      <c r="AD33">
        <v>15860409.279999999</v>
      </c>
      <c r="AE33">
        <v>15771371.459999999</v>
      </c>
      <c r="AF33">
        <v>607536</v>
      </c>
      <c r="AZ33">
        <v>603</v>
      </c>
      <c r="BA33" t="s">
        <v>224</v>
      </c>
      <c r="BB33">
        <v>2233452.2400000002</v>
      </c>
      <c r="BC33">
        <v>2086765.3499999999</v>
      </c>
      <c r="BD33">
        <v>71641</v>
      </c>
      <c r="BG33">
        <v>603</v>
      </c>
      <c r="BH33" t="s">
        <v>224</v>
      </c>
      <c r="BI33">
        <v>0</v>
      </c>
      <c r="BJ33">
        <v>304402.27</v>
      </c>
    </row>
    <row r="34" spans="1:62" x14ac:dyDescent="0.25">
      <c r="A34">
        <v>621</v>
      </c>
      <c r="B34" t="s">
        <v>226</v>
      </c>
      <c r="C34">
        <v>2575000</v>
      </c>
      <c r="D34">
        <v>4000892.57</v>
      </c>
      <c r="E34">
        <v>40613774.600000001</v>
      </c>
      <c r="F34">
        <v>39929044.079999998</v>
      </c>
      <c r="G34">
        <v>1454278</v>
      </c>
      <c r="H34">
        <v>2575000</v>
      </c>
      <c r="I34">
        <v>3900636.73</v>
      </c>
      <c r="J34">
        <v>40509410.729999997</v>
      </c>
      <c r="K34">
        <v>40284516.959999993</v>
      </c>
      <c r="L34">
        <v>1605501</v>
      </c>
      <c r="M34">
        <v>0</v>
      </c>
      <c r="N34">
        <v>2862631.13</v>
      </c>
      <c r="O34">
        <v>42420620.159999996</v>
      </c>
      <c r="P34">
        <v>41663225.629999995</v>
      </c>
      <c r="Q34">
        <v>1651099</v>
      </c>
      <c r="R34">
        <v>0</v>
      </c>
      <c r="S34">
        <v>7170468.3899999997</v>
      </c>
      <c r="T34">
        <v>44136485.439999998</v>
      </c>
      <c r="U34">
        <v>41297232.069999993</v>
      </c>
      <c r="V34">
        <v>1501447</v>
      </c>
      <c r="W34">
        <v>0</v>
      </c>
      <c r="X34">
        <v>9003374.5</v>
      </c>
      <c r="Y34">
        <v>44623291.329999998</v>
      </c>
      <c r="Z34">
        <v>42376004.299999997</v>
      </c>
      <c r="AA34">
        <v>1546987</v>
      </c>
      <c r="AB34">
        <v>0</v>
      </c>
      <c r="AC34">
        <v>11680603.1</v>
      </c>
      <c r="AD34">
        <v>44393792.530000001</v>
      </c>
      <c r="AE34">
        <v>44645771.609999999</v>
      </c>
      <c r="AF34">
        <v>1605145</v>
      </c>
      <c r="AZ34">
        <v>609</v>
      </c>
      <c r="BA34" t="s">
        <v>225</v>
      </c>
      <c r="BB34">
        <v>15860409.279999999</v>
      </c>
      <c r="BC34">
        <v>15771371.459999999</v>
      </c>
      <c r="BD34">
        <v>590339</v>
      </c>
      <c r="BG34">
        <v>609</v>
      </c>
      <c r="BH34" t="s">
        <v>225</v>
      </c>
      <c r="BI34">
        <v>0</v>
      </c>
      <c r="BJ34">
        <v>2301448.12</v>
      </c>
    </row>
    <row r="35" spans="1:62" x14ac:dyDescent="0.25">
      <c r="A35">
        <v>720</v>
      </c>
      <c r="B35" t="s">
        <v>227</v>
      </c>
      <c r="C35">
        <v>0</v>
      </c>
      <c r="D35">
        <v>-209124.44</v>
      </c>
      <c r="E35">
        <v>10339663.449999999</v>
      </c>
      <c r="F35">
        <v>9321978.6499999985</v>
      </c>
      <c r="G35">
        <v>403005</v>
      </c>
      <c r="H35">
        <v>0</v>
      </c>
      <c r="I35">
        <v>666329.43000000005</v>
      </c>
      <c r="J35">
        <v>10446034.560000001</v>
      </c>
      <c r="K35">
        <v>9519552.0199999996</v>
      </c>
      <c r="L35">
        <v>459931</v>
      </c>
      <c r="M35">
        <v>0</v>
      </c>
      <c r="N35">
        <v>1837086.12</v>
      </c>
      <c r="O35">
        <v>12081684.789999999</v>
      </c>
      <c r="P35">
        <v>10688120.759999998</v>
      </c>
      <c r="Q35">
        <v>491354</v>
      </c>
      <c r="R35">
        <v>0</v>
      </c>
      <c r="S35">
        <v>2443976.34</v>
      </c>
      <c r="T35">
        <v>13124968.58</v>
      </c>
      <c r="U35">
        <v>12339778.229999999</v>
      </c>
      <c r="V35">
        <v>486057</v>
      </c>
      <c r="W35">
        <v>0</v>
      </c>
      <c r="X35">
        <v>2789002.82</v>
      </c>
      <c r="Y35">
        <v>12970675.710000001</v>
      </c>
      <c r="Z35">
        <v>12887535.760000002</v>
      </c>
      <c r="AA35">
        <v>519255</v>
      </c>
      <c r="AB35">
        <v>0</v>
      </c>
      <c r="AC35">
        <v>1568193.76</v>
      </c>
      <c r="AD35">
        <v>14066155.99</v>
      </c>
      <c r="AE35">
        <v>15360569.079999998</v>
      </c>
      <c r="AF35">
        <v>572519</v>
      </c>
      <c r="AZ35">
        <v>621</v>
      </c>
      <c r="BA35" t="s">
        <v>226</v>
      </c>
      <c r="BB35">
        <v>44393792.530000001</v>
      </c>
      <c r="BC35">
        <v>44645771.609999999</v>
      </c>
      <c r="BD35">
        <v>1546987</v>
      </c>
      <c r="BG35">
        <v>621</v>
      </c>
      <c r="BH35" t="s">
        <v>226</v>
      </c>
      <c r="BI35">
        <v>0</v>
      </c>
      <c r="BJ35">
        <v>11143656.66</v>
      </c>
    </row>
    <row r="36" spans="1:62" x14ac:dyDescent="0.25">
      <c r="A36">
        <v>729</v>
      </c>
      <c r="B36" t="s">
        <v>228</v>
      </c>
      <c r="C36">
        <v>0</v>
      </c>
      <c r="D36">
        <v>2067077.79</v>
      </c>
      <c r="E36">
        <v>22045887.309999999</v>
      </c>
      <c r="F36">
        <v>20528739.920000002</v>
      </c>
      <c r="G36">
        <v>774946</v>
      </c>
      <c r="H36">
        <v>0</v>
      </c>
      <c r="I36">
        <v>2691322.34</v>
      </c>
      <c r="J36">
        <v>21241184.359999999</v>
      </c>
      <c r="K36">
        <v>20299199.099999998</v>
      </c>
      <c r="L36">
        <v>839131</v>
      </c>
      <c r="M36">
        <v>0</v>
      </c>
      <c r="N36">
        <v>4157861.72</v>
      </c>
      <c r="O36">
        <v>22646908.32</v>
      </c>
      <c r="P36">
        <v>21212365.369999997</v>
      </c>
      <c r="Q36">
        <v>848939</v>
      </c>
      <c r="R36">
        <v>0</v>
      </c>
      <c r="S36">
        <v>4580149.99</v>
      </c>
      <c r="T36">
        <v>22446106</v>
      </c>
      <c r="U36">
        <v>22027850.879999999</v>
      </c>
      <c r="V36">
        <v>789158</v>
      </c>
      <c r="W36">
        <v>0</v>
      </c>
      <c r="X36">
        <v>4016826.46</v>
      </c>
      <c r="Y36">
        <v>21555301.670000002</v>
      </c>
      <c r="Z36">
        <v>22141433.629999999</v>
      </c>
      <c r="AA36">
        <v>820628</v>
      </c>
      <c r="AB36">
        <v>0</v>
      </c>
      <c r="AC36">
        <v>3307692.72</v>
      </c>
      <c r="AD36">
        <v>22206785.649999999</v>
      </c>
      <c r="AE36">
        <v>22914948.099999994</v>
      </c>
      <c r="AF36">
        <v>861617</v>
      </c>
      <c r="AZ36">
        <v>720</v>
      </c>
      <c r="BA36" t="s">
        <v>227</v>
      </c>
      <c r="BB36">
        <v>14066155.99</v>
      </c>
      <c r="BC36">
        <v>15360569.079999998</v>
      </c>
      <c r="BD36">
        <v>519255</v>
      </c>
      <c r="BG36">
        <v>720</v>
      </c>
      <c r="BH36" t="s">
        <v>227</v>
      </c>
      <c r="BI36">
        <v>0</v>
      </c>
      <c r="BJ36">
        <v>916119.08</v>
      </c>
    </row>
    <row r="37" spans="1:62" x14ac:dyDescent="0.25">
      <c r="A37">
        <v>747</v>
      </c>
      <c r="B37" t="s">
        <v>229</v>
      </c>
      <c r="C37">
        <v>0</v>
      </c>
      <c r="D37">
        <v>315768.71000000002</v>
      </c>
      <c r="E37">
        <v>5612289.3499999996</v>
      </c>
      <c r="F37">
        <v>5595301.5899999999</v>
      </c>
      <c r="G37">
        <v>252631</v>
      </c>
      <c r="H37">
        <v>0</v>
      </c>
      <c r="I37">
        <v>307959.15999999997</v>
      </c>
      <c r="J37">
        <v>5720468.5800000001</v>
      </c>
      <c r="K37">
        <v>5720632.0899999999</v>
      </c>
      <c r="L37">
        <v>282451</v>
      </c>
      <c r="M37">
        <v>0</v>
      </c>
      <c r="N37">
        <v>594739.9</v>
      </c>
      <c r="O37">
        <v>6069786.6299999999</v>
      </c>
      <c r="P37">
        <v>5754700.2999999998</v>
      </c>
      <c r="Q37">
        <v>282067</v>
      </c>
      <c r="R37">
        <v>0</v>
      </c>
      <c r="S37">
        <v>854607.51</v>
      </c>
      <c r="T37">
        <v>6215755.2000000002</v>
      </c>
      <c r="U37">
        <v>5771990.0800000001</v>
      </c>
      <c r="V37">
        <v>258850</v>
      </c>
      <c r="W37">
        <v>0</v>
      </c>
      <c r="X37">
        <v>1062795.3700000001</v>
      </c>
      <c r="Y37">
        <v>6354020.1600000001</v>
      </c>
      <c r="Z37">
        <v>6108408.0800000001</v>
      </c>
      <c r="AA37">
        <v>269161</v>
      </c>
      <c r="AB37">
        <v>0</v>
      </c>
      <c r="AC37">
        <v>1252296.54</v>
      </c>
      <c r="AD37">
        <v>6622300.7800000003</v>
      </c>
      <c r="AE37">
        <v>6371409.7599999998</v>
      </c>
      <c r="AF37">
        <v>280184</v>
      </c>
      <c r="AZ37">
        <v>729</v>
      </c>
      <c r="BA37" t="s">
        <v>228</v>
      </c>
      <c r="BB37">
        <v>22206785.649999999</v>
      </c>
      <c r="BC37">
        <v>22914948.099999994</v>
      </c>
      <c r="BD37">
        <v>820628</v>
      </c>
      <c r="BG37">
        <v>729</v>
      </c>
      <c r="BH37" t="s">
        <v>228</v>
      </c>
      <c r="BI37">
        <v>0</v>
      </c>
      <c r="BJ37">
        <v>3866761.79</v>
      </c>
    </row>
    <row r="38" spans="1:62" x14ac:dyDescent="0.25">
      <c r="A38">
        <v>1917</v>
      </c>
      <c r="B38" t="s">
        <v>230</v>
      </c>
      <c r="C38">
        <v>0</v>
      </c>
      <c r="D38">
        <v>300542.09000000003</v>
      </c>
      <c r="E38">
        <v>4708697.96</v>
      </c>
      <c r="F38">
        <v>4560389.75</v>
      </c>
      <c r="G38">
        <v>167367</v>
      </c>
      <c r="H38">
        <v>0</v>
      </c>
      <c r="I38">
        <v>227945.72</v>
      </c>
      <c r="J38">
        <v>4627023.1500000004</v>
      </c>
      <c r="K38">
        <v>4669693.24</v>
      </c>
      <c r="L38">
        <v>178777</v>
      </c>
      <c r="M38">
        <v>0</v>
      </c>
      <c r="N38">
        <v>217408.14</v>
      </c>
      <c r="O38">
        <v>4832964.13</v>
      </c>
      <c r="P38">
        <v>4812881.7100000009</v>
      </c>
      <c r="Q38">
        <v>182761</v>
      </c>
      <c r="R38">
        <v>0</v>
      </c>
      <c r="S38">
        <v>286503.14</v>
      </c>
      <c r="T38">
        <v>4909699.74</v>
      </c>
      <c r="U38">
        <v>4796438.38</v>
      </c>
      <c r="V38">
        <v>160092</v>
      </c>
      <c r="W38">
        <v>0</v>
      </c>
      <c r="X38">
        <v>583555.77</v>
      </c>
      <c r="Y38">
        <v>5185853.4400000004</v>
      </c>
      <c r="Z38">
        <v>4890357.4900000012</v>
      </c>
      <c r="AA38">
        <v>170350</v>
      </c>
      <c r="AB38">
        <v>0</v>
      </c>
      <c r="AC38">
        <v>690782.84</v>
      </c>
      <c r="AD38">
        <v>5231061.34</v>
      </c>
      <c r="AE38">
        <v>5140297.42</v>
      </c>
      <c r="AF38">
        <v>179150</v>
      </c>
      <c r="AZ38">
        <v>747</v>
      </c>
      <c r="BA38" t="s">
        <v>229</v>
      </c>
      <c r="BB38">
        <v>6622300.7800000003</v>
      </c>
      <c r="BC38">
        <v>6371409.7599999998</v>
      </c>
      <c r="BD38">
        <v>269161</v>
      </c>
      <c r="BG38">
        <v>747</v>
      </c>
      <c r="BH38" t="s">
        <v>229</v>
      </c>
      <c r="BI38">
        <v>0</v>
      </c>
      <c r="BJ38">
        <v>1147027.8999999999</v>
      </c>
    </row>
    <row r="39" spans="1:62" x14ac:dyDescent="0.25">
      <c r="A39">
        <v>846</v>
      </c>
      <c r="B39" t="s">
        <v>231</v>
      </c>
      <c r="C39">
        <v>0</v>
      </c>
      <c r="D39">
        <v>2422513.2000000002</v>
      </c>
      <c r="E39">
        <v>5156209.01</v>
      </c>
      <c r="F39">
        <v>4878101.99</v>
      </c>
      <c r="G39">
        <v>209354</v>
      </c>
      <c r="H39">
        <v>0</v>
      </c>
      <c r="I39">
        <v>2032777.58</v>
      </c>
      <c r="J39">
        <v>4626004.55</v>
      </c>
      <c r="K39">
        <v>4936603.2699999996</v>
      </c>
      <c r="L39">
        <v>236155</v>
      </c>
      <c r="M39">
        <v>0</v>
      </c>
      <c r="N39">
        <v>2089119.15</v>
      </c>
      <c r="O39">
        <v>5384055.71</v>
      </c>
      <c r="P39">
        <v>5202513.4400000013</v>
      </c>
      <c r="Q39">
        <v>239984</v>
      </c>
      <c r="R39">
        <v>0</v>
      </c>
      <c r="S39">
        <v>2035535.27</v>
      </c>
      <c r="T39">
        <v>5177446.8600000003</v>
      </c>
      <c r="U39">
        <v>5263503.0899999989</v>
      </c>
      <c r="V39">
        <v>218716</v>
      </c>
      <c r="W39">
        <v>0</v>
      </c>
      <c r="X39">
        <v>1975089.96</v>
      </c>
      <c r="Y39">
        <v>5318637.5</v>
      </c>
      <c r="Z39">
        <v>5332222.82</v>
      </c>
      <c r="AA39">
        <v>211089</v>
      </c>
      <c r="AB39">
        <v>0</v>
      </c>
      <c r="AC39">
        <v>1522318.83</v>
      </c>
      <c r="AD39">
        <v>5196581.9400000004</v>
      </c>
      <c r="AE39">
        <v>5639566.5099999998</v>
      </c>
      <c r="AF39">
        <v>216574</v>
      </c>
      <c r="AZ39">
        <v>1917</v>
      </c>
      <c r="BA39" t="s">
        <v>230</v>
      </c>
      <c r="BB39">
        <v>5231061.34</v>
      </c>
      <c r="BC39">
        <v>5140297.42</v>
      </c>
      <c r="BD39">
        <v>170350</v>
      </c>
      <c r="BG39">
        <v>1917</v>
      </c>
      <c r="BH39" t="s">
        <v>230</v>
      </c>
      <c r="BI39">
        <v>0</v>
      </c>
      <c r="BJ39">
        <v>703006.9</v>
      </c>
    </row>
    <row r="40" spans="1:62" x14ac:dyDescent="0.25">
      <c r="A40">
        <v>882</v>
      </c>
      <c r="B40" t="s">
        <v>232</v>
      </c>
      <c r="C40">
        <v>0</v>
      </c>
      <c r="D40">
        <v>4243518.4400000004</v>
      </c>
      <c r="E40">
        <v>41169713.960000001</v>
      </c>
      <c r="F40">
        <v>41172199.429999992</v>
      </c>
      <c r="G40">
        <v>1640819</v>
      </c>
      <c r="H40">
        <v>0</v>
      </c>
      <c r="I40">
        <v>3217435.69</v>
      </c>
      <c r="J40">
        <v>41246430.549999997</v>
      </c>
      <c r="K40">
        <v>41995781.199999996</v>
      </c>
      <c r="L40">
        <v>1821651</v>
      </c>
      <c r="M40">
        <v>31917.65</v>
      </c>
      <c r="N40">
        <v>4926441.0999999996</v>
      </c>
      <c r="O40">
        <v>44434314.539999999</v>
      </c>
      <c r="P40">
        <v>42260710.530000001</v>
      </c>
      <c r="Q40">
        <v>1882597</v>
      </c>
      <c r="R40">
        <v>56540.95</v>
      </c>
      <c r="S40">
        <v>7226338.4400000004</v>
      </c>
      <c r="T40">
        <v>44526499.810000002</v>
      </c>
      <c r="U40">
        <v>42044902.759999998</v>
      </c>
      <c r="V40">
        <v>1702734</v>
      </c>
      <c r="W40">
        <v>64861.91</v>
      </c>
      <c r="X40">
        <v>7024286.2999999998</v>
      </c>
      <c r="Y40">
        <v>45225871.770000003</v>
      </c>
      <c r="Z40">
        <v>45450589.999999993</v>
      </c>
      <c r="AA40">
        <v>1752703</v>
      </c>
      <c r="AB40">
        <v>76308.38</v>
      </c>
      <c r="AC40">
        <v>6404351.46</v>
      </c>
      <c r="AD40">
        <v>47113278.539999999</v>
      </c>
      <c r="AE40">
        <v>47717991.63000001</v>
      </c>
      <c r="AF40">
        <v>1909154</v>
      </c>
      <c r="AZ40">
        <v>846</v>
      </c>
      <c r="BA40" t="s">
        <v>231</v>
      </c>
      <c r="BB40">
        <v>5196581.9400000004</v>
      </c>
      <c r="BC40">
        <v>5639566.5099999998</v>
      </c>
      <c r="BD40">
        <v>211089</v>
      </c>
      <c r="BG40">
        <v>846</v>
      </c>
      <c r="BH40" t="s">
        <v>231</v>
      </c>
      <c r="BI40">
        <v>0</v>
      </c>
      <c r="BJ40">
        <v>1094912.8899999999</v>
      </c>
    </row>
    <row r="41" spans="1:62" x14ac:dyDescent="0.25">
      <c r="A41">
        <v>916</v>
      </c>
      <c r="B41" t="s">
        <v>233</v>
      </c>
      <c r="C41">
        <v>0</v>
      </c>
      <c r="D41">
        <v>813322.05</v>
      </c>
      <c r="E41">
        <v>2852358.19</v>
      </c>
      <c r="F41">
        <v>2810972.2800000003</v>
      </c>
      <c r="G41">
        <v>103615</v>
      </c>
      <c r="H41">
        <v>0</v>
      </c>
      <c r="I41">
        <v>663301.23</v>
      </c>
      <c r="J41">
        <v>2758488.83</v>
      </c>
      <c r="K41">
        <v>2910894.65</v>
      </c>
      <c r="L41">
        <v>123551</v>
      </c>
      <c r="M41">
        <v>0</v>
      </c>
      <c r="N41">
        <v>586796.26</v>
      </c>
      <c r="O41">
        <v>2937396.34</v>
      </c>
      <c r="P41">
        <v>3008609.31</v>
      </c>
      <c r="Q41">
        <v>123963</v>
      </c>
      <c r="R41">
        <v>0</v>
      </c>
      <c r="S41">
        <v>212960.58</v>
      </c>
      <c r="T41">
        <v>2966606.33</v>
      </c>
      <c r="U41">
        <v>3290420.28</v>
      </c>
      <c r="V41">
        <v>113170</v>
      </c>
      <c r="W41">
        <v>0</v>
      </c>
      <c r="X41">
        <v>25255.75</v>
      </c>
      <c r="Y41">
        <v>3161894.33</v>
      </c>
      <c r="Z41">
        <v>3351003.8400000003</v>
      </c>
      <c r="AA41">
        <v>115323</v>
      </c>
      <c r="AB41">
        <v>0</v>
      </c>
      <c r="AC41">
        <v>-154837.56</v>
      </c>
      <c r="AD41">
        <v>3464535.56</v>
      </c>
      <c r="AE41">
        <v>3625822.8100000005</v>
      </c>
      <c r="AF41">
        <v>120236</v>
      </c>
      <c r="AZ41">
        <v>882</v>
      </c>
      <c r="BA41" t="s">
        <v>232</v>
      </c>
      <c r="BB41">
        <v>47113278.539999999</v>
      </c>
      <c r="BC41">
        <v>47717991.63000001</v>
      </c>
      <c r="BD41">
        <v>1752703</v>
      </c>
      <c r="BG41">
        <v>882</v>
      </c>
      <c r="BH41" t="s">
        <v>232</v>
      </c>
      <c r="BI41">
        <v>109471.46</v>
      </c>
      <c r="BJ41">
        <v>8516093.3100000005</v>
      </c>
    </row>
    <row r="42" spans="1:62" x14ac:dyDescent="0.25">
      <c r="A42">
        <v>918</v>
      </c>
      <c r="B42" t="s">
        <v>234</v>
      </c>
      <c r="C42">
        <v>0</v>
      </c>
      <c r="D42">
        <v>925077.8</v>
      </c>
      <c r="E42">
        <v>4820377.83</v>
      </c>
      <c r="F42">
        <v>4603435.9500000011</v>
      </c>
      <c r="G42">
        <v>186943</v>
      </c>
      <c r="H42">
        <v>0</v>
      </c>
      <c r="I42">
        <v>957167.27</v>
      </c>
      <c r="J42">
        <v>4764650</v>
      </c>
      <c r="K42">
        <v>4724012.5999999987</v>
      </c>
      <c r="L42">
        <v>197554</v>
      </c>
      <c r="M42">
        <v>0</v>
      </c>
      <c r="N42">
        <v>1071382.7</v>
      </c>
      <c r="O42">
        <v>4979551.82</v>
      </c>
      <c r="P42">
        <v>4849731</v>
      </c>
      <c r="Q42">
        <v>198631</v>
      </c>
      <c r="R42">
        <v>0</v>
      </c>
      <c r="S42">
        <v>1328304.1499999999</v>
      </c>
      <c r="T42">
        <v>5058642.55</v>
      </c>
      <c r="U42">
        <v>4773488.2300000004</v>
      </c>
      <c r="V42">
        <v>179563</v>
      </c>
      <c r="W42">
        <v>0</v>
      </c>
      <c r="X42">
        <v>1107800.81</v>
      </c>
      <c r="Y42">
        <v>4703057.4800000004</v>
      </c>
      <c r="Z42">
        <v>4922123.9399999995</v>
      </c>
      <c r="AA42">
        <v>177545</v>
      </c>
      <c r="AB42">
        <v>0</v>
      </c>
      <c r="AC42">
        <v>918760.74</v>
      </c>
      <c r="AD42">
        <v>4890957.21</v>
      </c>
      <c r="AE42">
        <v>5045288.4800000004</v>
      </c>
      <c r="AF42">
        <v>185426</v>
      </c>
      <c r="AZ42">
        <v>916</v>
      </c>
      <c r="BA42" t="s">
        <v>233</v>
      </c>
      <c r="BB42">
        <v>3464535.56</v>
      </c>
      <c r="BC42">
        <v>3625822.8100000005</v>
      </c>
      <c r="BD42">
        <v>115323</v>
      </c>
      <c r="BG42">
        <v>916</v>
      </c>
      <c r="BH42" t="s">
        <v>233</v>
      </c>
      <c r="BI42">
        <v>0</v>
      </c>
      <c r="BJ42">
        <v>-266862.05</v>
      </c>
    </row>
    <row r="43" spans="1:62" x14ac:dyDescent="0.25">
      <c r="A43">
        <v>914</v>
      </c>
      <c r="B43" t="s">
        <v>235</v>
      </c>
      <c r="C43">
        <v>0</v>
      </c>
      <c r="D43">
        <v>219707.26</v>
      </c>
      <c r="E43">
        <v>2349784.58</v>
      </c>
      <c r="F43">
        <v>2210733.13</v>
      </c>
      <c r="G43">
        <v>73047</v>
      </c>
      <c r="H43">
        <v>0</v>
      </c>
      <c r="I43">
        <v>323014.98</v>
      </c>
      <c r="J43">
        <v>2424443.79</v>
      </c>
      <c r="K43">
        <v>2342033.35</v>
      </c>
      <c r="L43">
        <v>78009</v>
      </c>
      <c r="M43">
        <v>0</v>
      </c>
      <c r="N43">
        <v>546646.99</v>
      </c>
      <c r="O43">
        <v>2541565.44</v>
      </c>
      <c r="P43">
        <v>2321493.0200000005</v>
      </c>
      <c r="Q43">
        <v>81132</v>
      </c>
      <c r="R43">
        <v>0</v>
      </c>
      <c r="S43">
        <v>1558105.24</v>
      </c>
      <c r="T43">
        <v>5558978.4500000002</v>
      </c>
      <c r="U43">
        <v>4785253.29</v>
      </c>
      <c r="V43">
        <v>173982</v>
      </c>
      <c r="W43">
        <v>0</v>
      </c>
      <c r="X43">
        <v>1633905.09</v>
      </c>
      <c r="Y43">
        <v>6190212.8600000003</v>
      </c>
      <c r="Z43">
        <v>6095349.3200000003</v>
      </c>
      <c r="AA43">
        <v>170581</v>
      </c>
      <c r="AB43">
        <v>0</v>
      </c>
      <c r="AC43">
        <v>1182036.6200000001</v>
      </c>
      <c r="AD43">
        <v>6420680.54</v>
      </c>
      <c r="AE43">
        <v>6807905.4200000009</v>
      </c>
      <c r="AF43">
        <v>176681</v>
      </c>
      <c r="AZ43">
        <v>918</v>
      </c>
      <c r="BA43" t="s">
        <v>600</v>
      </c>
      <c r="BB43">
        <v>4890957.21</v>
      </c>
      <c r="BC43">
        <v>5045288.4800000004</v>
      </c>
      <c r="BD43">
        <v>177545</v>
      </c>
      <c r="BG43">
        <v>918</v>
      </c>
      <c r="BH43" t="s">
        <v>600</v>
      </c>
      <c r="BI43">
        <v>0</v>
      </c>
      <c r="BJ43">
        <v>785507.83999999997</v>
      </c>
    </row>
    <row r="44" spans="1:62" x14ac:dyDescent="0.25">
      <c r="A44">
        <v>936</v>
      </c>
      <c r="B44" t="s">
        <v>236</v>
      </c>
      <c r="C44">
        <v>0</v>
      </c>
      <c r="D44">
        <v>1087149.54</v>
      </c>
      <c r="E44">
        <v>9286820.8499999996</v>
      </c>
      <c r="F44">
        <v>9316728.2699999996</v>
      </c>
      <c r="G44">
        <v>333590</v>
      </c>
      <c r="H44">
        <v>0</v>
      </c>
      <c r="I44">
        <v>1023184.91</v>
      </c>
      <c r="J44">
        <v>9464332.7400000002</v>
      </c>
      <c r="K44">
        <v>9554526.3800000027</v>
      </c>
      <c r="L44">
        <v>374140</v>
      </c>
      <c r="M44">
        <v>0</v>
      </c>
      <c r="N44">
        <v>868997.75</v>
      </c>
      <c r="O44">
        <v>9629164.7100000009</v>
      </c>
      <c r="P44">
        <v>9812041.5599999968</v>
      </c>
      <c r="Q44">
        <v>376921</v>
      </c>
      <c r="R44">
        <v>0</v>
      </c>
      <c r="S44">
        <v>1328885.9099999999</v>
      </c>
      <c r="T44">
        <v>10430880.43</v>
      </c>
      <c r="U44">
        <v>9983016.0099999998</v>
      </c>
      <c r="V44">
        <v>343789</v>
      </c>
      <c r="W44">
        <v>0</v>
      </c>
      <c r="X44">
        <v>1578329.88</v>
      </c>
      <c r="Y44">
        <v>10459099.5</v>
      </c>
      <c r="Z44">
        <v>10216914.590000002</v>
      </c>
      <c r="AA44">
        <v>345322</v>
      </c>
      <c r="AB44">
        <v>0</v>
      </c>
      <c r="AC44">
        <v>1496471.95</v>
      </c>
      <c r="AD44">
        <v>10672284.060000001</v>
      </c>
      <c r="AE44">
        <v>10711374.5</v>
      </c>
      <c r="AF44">
        <v>354618</v>
      </c>
      <c r="AZ44">
        <v>914</v>
      </c>
      <c r="BA44" t="s">
        <v>235</v>
      </c>
      <c r="BB44">
        <v>6420680.54</v>
      </c>
      <c r="BC44">
        <v>6807905.4200000009</v>
      </c>
      <c r="BD44">
        <v>170581</v>
      </c>
      <c r="BG44">
        <v>914</v>
      </c>
      <c r="BH44" t="s">
        <v>235</v>
      </c>
      <c r="BI44">
        <v>0</v>
      </c>
      <c r="BJ44">
        <v>892782.76</v>
      </c>
    </row>
    <row r="45" spans="1:62" x14ac:dyDescent="0.25">
      <c r="A45">
        <v>977</v>
      </c>
      <c r="B45" t="s">
        <v>237</v>
      </c>
      <c r="C45">
        <v>0</v>
      </c>
      <c r="D45">
        <v>25450.81</v>
      </c>
      <c r="E45">
        <v>6204963.8200000003</v>
      </c>
      <c r="F45">
        <v>5906645.2899999991</v>
      </c>
      <c r="G45">
        <v>230908</v>
      </c>
      <c r="H45">
        <v>0</v>
      </c>
      <c r="I45">
        <v>631379.55000000005</v>
      </c>
      <c r="J45">
        <v>6495634.6500000004</v>
      </c>
      <c r="K45">
        <v>5769192</v>
      </c>
      <c r="L45">
        <v>249117</v>
      </c>
      <c r="M45">
        <v>0</v>
      </c>
      <c r="N45">
        <v>1019369.87</v>
      </c>
      <c r="O45">
        <v>6548559.3099999996</v>
      </c>
      <c r="P45">
        <v>6147250.3300000001</v>
      </c>
      <c r="Q45">
        <v>251075</v>
      </c>
      <c r="R45">
        <v>0</v>
      </c>
      <c r="S45">
        <v>1657115.12</v>
      </c>
      <c r="T45">
        <v>6620559.7199999997</v>
      </c>
      <c r="U45">
        <v>6067308.2199999997</v>
      </c>
      <c r="V45">
        <v>227554</v>
      </c>
      <c r="W45">
        <v>0</v>
      </c>
      <c r="X45">
        <v>1977418.36</v>
      </c>
      <c r="Y45">
        <v>6547556.6200000001</v>
      </c>
      <c r="Z45">
        <v>6199133.7799999993</v>
      </c>
      <c r="AA45">
        <v>228436</v>
      </c>
      <c r="AB45">
        <v>0</v>
      </c>
      <c r="AC45">
        <v>2197531.9500000002</v>
      </c>
      <c r="AD45">
        <v>7306970.9000000004</v>
      </c>
      <c r="AE45">
        <v>7077355.8100000005</v>
      </c>
      <c r="AF45">
        <v>233919</v>
      </c>
      <c r="AZ45">
        <v>936</v>
      </c>
      <c r="BA45" t="s">
        <v>236</v>
      </c>
      <c r="BB45">
        <v>10672284.060000001</v>
      </c>
      <c r="BC45">
        <v>10711374.5</v>
      </c>
      <c r="BD45">
        <v>345322</v>
      </c>
      <c r="BG45">
        <v>936</v>
      </c>
      <c r="BH45" t="s">
        <v>236</v>
      </c>
      <c r="BI45">
        <v>0</v>
      </c>
      <c r="BJ45">
        <v>997864.6</v>
      </c>
    </row>
    <row r="46" spans="1:62" x14ac:dyDescent="0.25">
      <c r="A46">
        <v>981</v>
      </c>
      <c r="B46" t="s">
        <v>238</v>
      </c>
      <c r="C46">
        <v>0</v>
      </c>
      <c r="D46">
        <v>1558849.13</v>
      </c>
      <c r="E46">
        <v>14373785.58</v>
      </c>
      <c r="F46">
        <v>14575455.450000001</v>
      </c>
      <c r="G46">
        <v>615532</v>
      </c>
      <c r="H46">
        <v>0</v>
      </c>
      <c r="I46">
        <v>1163854.33</v>
      </c>
      <c r="J46">
        <v>14341238.98</v>
      </c>
      <c r="K46">
        <v>14567576.190000001</v>
      </c>
      <c r="L46">
        <v>665706</v>
      </c>
      <c r="M46">
        <v>0</v>
      </c>
      <c r="N46">
        <v>2781790.76</v>
      </c>
      <c r="O46">
        <v>16464594.869999999</v>
      </c>
      <c r="P46">
        <v>14795258.35</v>
      </c>
      <c r="Q46">
        <v>688857</v>
      </c>
      <c r="R46">
        <v>0</v>
      </c>
      <c r="S46">
        <v>4571551.3600000003</v>
      </c>
      <c r="T46">
        <v>17136751.149999999</v>
      </c>
      <c r="U46">
        <v>15310353.460000001</v>
      </c>
      <c r="V46">
        <v>649983</v>
      </c>
      <c r="W46">
        <v>0</v>
      </c>
      <c r="X46">
        <v>5063992.37</v>
      </c>
      <c r="Y46">
        <v>16504597.039999999</v>
      </c>
      <c r="Z46">
        <v>16022384.65</v>
      </c>
      <c r="AA46">
        <v>664895</v>
      </c>
      <c r="AB46">
        <v>0</v>
      </c>
      <c r="AC46">
        <v>5270102.32</v>
      </c>
      <c r="AD46">
        <v>17308591.710000001</v>
      </c>
      <c r="AE46">
        <v>17048173.710000001</v>
      </c>
      <c r="AF46">
        <v>696090</v>
      </c>
      <c r="AZ46">
        <v>977</v>
      </c>
      <c r="BA46" t="s">
        <v>237</v>
      </c>
      <c r="BB46">
        <v>7306970.9000000004</v>
      </c>
      <c r="BC46">
        <v>7077355.8100000005</v>
      </c>
      <c r="BD46">
        <v>228436</v>
      </c>
      <c r="BG46">
        <v>977</v>
      </c>
      <c r="BH46" t="s">
        <v>237</v>
      </c>
      <c r="BI46">
        <v>0</v>
      </c>
      <c r="BJ46">
        <v>1597790.17</v>
      </c>
    </row>
    <row r="47" spans="1:62" x14ac:dyDescent="0.25">
      <c r="A47">
        <v>999</v>
      </c>
      <c r="B47" t="s">
        <v>239</v>
      </c>
      <c r="C47">
        <v>0</v>
      </c>
      <c r="D47">
        <v>2504804.2000000002</v>
      </c>
      <c r="E47">
        <v>15913276.25</v>
      </c>
      <c r="F47">
        <v>15272790.92</v>
      </c>
      <c r="G47">
        <v>677165</v>
      </c>
      <c r="H47">
        <v>0</v>
      </c>
      <c r="I47">
        <v>2764106.95</v>
      </c>
      <c r="J47">
        <v>15883632.99</v>
      </c>
      <c r="K47">
        <v>15565002.08</v>
      </c>
      <c r="L47">
        <v>743060</v>
      </c>
      <c r="M47">
        <v>0</v>
      </c>
      <c r="N47">
        <v>182498.34</v>
      </c>
      <c r="O47">
        <v>16880739.170000002</v>
      </c>
      <c r="P47">
        <v>16569977.379999999</v>
      </c>
      <c r="Q47">
        <v>743780</v>
      </c>
      <c r="R47">
        <v>0</v>
      </c>
      <c r="S47">
        <v>4118148.4</v>
      </c>
      <c r="T47">
        <v>17564411.969999999</v>
      </c>
      <c r="U47">
        <v>16766731.580000002</v>
      </c>
      <c r="V47">
        <v>673805</v>
      </c>
      <c r="W47">
        <v>0</v>
      </c>
      <c r="X47">
        <v>3866534.43</v>
      </c>
      <c r="Y47">
        <v>17021963.66</v>
      </c>
      <c r="Z47">
        <v>16866102.879999999</v>
      </c>
      <c r="AA47">
        <v>686282</v>
      </c>
      <c r="AB47">
        <v>0</v>
      </c>
      <c r="AC47">
        <v>3079776.14</v>
      </c>
      <c r="AD47">
        <v>16904461.93</v>
      </c>
      <c r="AE47">
        <v>17610419.41</v>
      </c>
      <c r="AF47">
        <v>708585</v>
      </c>
      <c r="AZ47">
        <v>981</v>
      </c>
      <c r="BA47" t="s">
        <v>238</v>
      </c>
      <c r="BB47">
        <v>17308591.710000001</v>
      </c>
      <c r="BC47">
        <v>17048173.710000001</v>
      </c>
      <c r="BD47">
        <v>664895</v>
      </c>
      <c r="BG47">
        <v>981</v>
      </c>
      <c r="BH47" t="s">
        <v>238</v>
      </c>
      <c r="BI47">
        <v>0</v>
      </c>
      <c r="BJ47">
        <v>4874741.2300000004</v>
      </c>
    </row>
    <row r="48" spans="1:62" x14ac:dyDescent="0.25">
      <c r="A48">
        <v>1044</v>
      </c>
      <c r="B48" t="s">
        <v>240</v>
      </c>
      <c r="C48">
        <v>0</v>
      </c>
      <c r="D48">
        <v>4259839.84</v>
      </c>
      <c r="E48">
        <v>38929979.609999999</v>
      </c>
      <c r="F48">
        <v>38423625.36999999</v>
      </c>
      <c r="G48">
        <v>1595539</v>
      </c>
      <c r="H48">
        <v>0</v>
      </c>
      <c r="I48">
        <v>3455480.65</v>
      </c>
      <c r="J48">
        <v>39814376.619999997</v>
      </c>
      <c r="K48">
        <v>40364598.749999993</v>
      </c>
      <c r="L48">
        <v>1875964</v>
      </c>
      <c r="M48">
        <v>0</v>
      </c>
      <c r="N48">
        <v>3363848.13</v>
      </c>
      <c r="O48">
        <v>42091376.630000003</v>
      </c>
      <c r="P48">
        <v>41957365.519999996</v>
      </c>
      <c r="Q48">
        <v>1952999</v>
      </c>
      <c r="R48">
        <v>0</v>
      </c>
      <c r="S48">
        <v>4746923.4400000004</v>
      </c>
      <c r="T48">
        <v>46330336.32</v>
      </c>
      <c r="U48">
        <v>45152544.259999998</v>
      </c>
      <c r="V48">
        <v>1925667</v>
      </c>
      <c r="W48">
        <v>0</v>
      </c>
      <c r="X48">
        <v>5773692.5899999999</v>
      </c>
      <c r="Y48">
        <v>50440180.020000003</v>
      </c>
      <c r="Z48">
        <v>49487939.409999996</v>
      </c>
      <c r="AA48">
        <v>1929402</v>
      </c>
      <c r="AB48">
        <v>0</v>
      </c>
      <c r="AC48">
        <v>7052488.5700000003</v>
      </c>
      <c r="AD48">
        <v>53679983.420000002</v>
      </c>
      <c r="AE48">
        <v>51987623.159999996</v>
      </c>
      <c r="AF48">
        <v>2052254</v>
      </c>
      <c r="AZ48">
        <v>999</v>
      </c>
      <c r="BA48" t="s">
        <v>239</v>
      </c>
      <c r="BB48">
        <v>16904461.93</v>
      </c>
      <c r="BC48">
        <v>17610419.41</v>
      </c>
      <c r="BD48">
        <v>686282</v>
      </c>
      <c r="BG48">
        <v>999</v>
      </c>
      <c r="BH48" t="s">
        <v>239</v>
      </c>
      <c r="BI48">
        <v>0</v>
      </c>
      <c r="BJ48">
        <v>2175941.0099999998</v>
      </c>
    </row>
    <row r="49" spans="1:62" x14ac:dyDescent="0.25">
      <c r="A49">
        <v>1053</v>
      </c>
      <c r="B49" t="s">
        <v>241</v>
      </c>
      <c r="C49">
        <v>0</v>
      </c>
      <c r="D49">
        <v>13979790.119999999</v>
      </c>
      <c r="E49">
        <v>170595233.13999999</v>
      </c>
      <c r="F49">
        <v>175816367.21000004</v>
      </c>
      <c r="G49">
        <v>6606831</v>
      </c>
      <c r="H49">
        <v>0</v>
      </c>
      <c r="I49">
        <v>3065240.7</v>
      </c>
      <c r="J49">
        <v>169980988.47999999</v>
      </c>
      <c r="K49">
        <v>180863118.55000001</v>
      </c>
      <c r="L49">
        <v>7235780</v>
      </c>
      <c r="M49">
        <v>0</v>
      </c>
      <c r="N49">
        <v>6010497.5099999998</v>
      </c>
      <c r="O49">
        <v>188140100.94999999</v>
      </c>
      <c r="P49">
        <v>184633537.79999998</v>
      </c>
      <c r="Q49">
        <v>7259732</v>
      </c>
      <c r="R49">
        <v>0</v>
      </c>
      <c r="S49">
        <v>6600374.2000000002</v>
      </c>
      <c r="T49">
        <v>182173898.58000001</v>
      </c>
      <c r="U49">
        <v>181776311.03</v>
      </c>
      <c r="V49">
        <v>6585536</v>
      </c>
      <c r="W49">
        <v>0</v>
      </c>
      <c r="X49">
        <v>-1724643.92</v>
      </c>
      <c r="Y49">
        <v>178630425.13999999</v>
      </c>
      <c r="Z49">
        <v>186212272.20999995</v>
      </c>
      <c r="AA49">
        <v>6626750</v>
      </c>
      <c r="AB49">
        <v>0</v>
      </c>
      <c r="AC49">
        <v>2968274.99</v>
      </c>
      <c r="AD49">
        <v>189694959.33000001</v>
      </c>
      <c r="AE49">
        <v>185532850.97</v>
      </c>
      <c r="AF49">
        <v>6879239</v>
      </c>
      <c r="AZ49">
        <v>1044</v>
      </c>
      <c r="BA49" t="s">
        <v>240</v>
      </c>
      <c r="BB49">
        <v>53679983.420000002</v>
      </c>
      <c r="BC49">
        <v>51987623.159999996</v>
      </c>
      <c r="BD49">
        <v>1929402</v>
      </c>
      <c r="BG49">
        <v>1044</v>
      </c>
      <c r="BH49" t="s">
        <v>240</v>
      </c>
      <c r="BI49">
        <v>0</v>
      </c>
      <c r="BJ49">
        <v>6291718.7199999997</v>
      </c>
    </row>
    <row r="50" spans="1:62" x14ac:dyDescent="0.25">
      <c r="A50">
        <v>1062</v>
      </c>
      <c r="B50" t="s">
        <v>242</v>
      </c>
      <c r="C50">
        <v>0</v>
      </c>
      <c r="D50">
        <v>-362293.19</v>
      </c>
      <c r="E50">
        <v>11162718</v>
      </c>
      <c r="F50">
        <v>11096802.5</v>
      </c>
      <c r="G50">
        <v>429285</v>
      </c>
      <c r="H50">
        <v>0</v>
      </c>
      <c r="I50">
        <v>25729.16</v>
      </c>
      <c r="J50">
        <v>11751798.58</v>
      </c>
      <c r="K50">
        <v>11237331.279999999</v>
      </c>
      <c r="L50">
        <v>499411</v>
      </c>
      <c r="M50">
        <v>0</v>
      </c>
      <c r="N50">
        <v>1226112.33</v>
      </c>
      <c r="O50">
        <v>12517177.84</v>
      </c>
      <c r="P50">
        <v>11289966.220000001</v>
      </c>
      <c r="Q50">
        <v>514852</v>
      </c>
      <c r="R50">
        <v>0</v>
      </c>
      <c r="S50">
        <v>1729171.9</v>
      </c>
      <c r="T50">
        <v>12981594.529999999</v>
      </c>
      <c r="U50">
        <v>12493710.93</v>
      </c>
      <c r="V50">
        <v>485277</v>
      </c>
      <c r="W50">
        <v>26934.51</v>
      </c>
      <c r="X50">
        <v>2103006.5099999998</v>
      </c>
      <c r="Y50">
        <v>13316346.4</v>
      </c>
      <c r="Z50">
        <v>12947390.549999999</v>
      </c>
      <c r="AA50">
        <v>491690</v>
      </c>
      <c r="AB50">
        <v>45600.75</v>
      </c>
      <c r="AC50">
        <v>1741324.96</v>
      </c>
      <c r="AD50">
        <v>13748591.93</v>
      </c>
      <c r="AE50">
        <v>14062529.01</v>
      </c>
      <c r="AF50">
        <v>513598</v>
      </c>
      <c r="AZ50">
        <v>1053</v>
      </c>
      <c r="BA50" t="s">
        <v>241</v>
      </c>
      <c r="BB50">
        <v>189694959.33000001</v>
      </c>
      <c r="BC50">
        <v>185532850.97</v>
      </c>
      <c r="BD50">
        <v>6626750</v>
      </c>
      <c r="BG50">
        <v>1053</v>
      </c>
      <c r="BH50" t="s">
        <v>241</v>
      </c>
      <c r="BI50">
        <v>0</v>
      </c>
      <c r="BJ50">
        <v>12216515.09</v>
      </c>
    </row>
    <row r="51" spans="1:62" x14ac:dyDescent="0.25">
      <c r="A51">
        <v>1071</v>
      </c>
      <c r="B51" t="s">
        <v>243</v>
      </c>
      <c r="C51">
        <v>0</v>
      </c>
      <c r="D51">
        <v>-613306.76</v>
      </c>
      <c r="E51">
        <v>14015567.310000001</v>
      </c>
      <c r="F51">
        <v>14046957.459999999</v>
      </c>
      <c r="G51">
        <v>529695</v>
      </c>
      <c r="H51">
        <v>0</v>
      </c>
      <c r="I51">
        <v>-804432.08</v>
      </c>
      <c r="J51">
        <v>14100872.439999999</v>
      </c>
      <c r="K51">
        <v>14095788.970000001</v>
      </c>
      <c r="L51">
        <v>598651</v>
      </c>
      <c r="M51">
        <v>0</v>
      </c>
      <c r="N51">
        <v>-372634.6</v>
      </c>
      <c r="O51">
        <v>14741021.380000001</v>
      </c>
      <c r="P51">
        <v>14195554.960000001</v>
      </c>
      <c r="Q51">
        <v>601275</v>
      </c>
      <c r="R51">
        <v>0</v>
      </c>
      <c r="S51">
        <v>240727.77</v>
      </c>
      <c r="T51">
        <v>14267742.68</v>
      </c>
      <c r="U51">
        <v>13671624.230000002</v>
      </c>
      <c r="V51">
        <v>535013</v>
      </c>
      <c r="W51">
        <v>0</v>
      </c>
      <c r="X51">
        <v>1099627.48</v>
      </c>
      <c r="Y51">
        <v>14074597.92</v>
      </c>
      <c r="Z51">
        <v>13113093.210000001</v>
      </c>
      <c r="AA51">
        <v>532868</v>
      </c>
      <c r="AB51">
        <v>0</v>
      </c>
      <c r="AC51">
        <v>1446512.44</v>
      </c>
      <c r="AD51">
        <v>14353085.380000001</v>
      </c>
      <c r="AE51">
        <v>13964745.370000001</v>
      </c>
      <c r="AF51">
        <v>552043</v>
      </c>
      <c r="AZ51">
        <v>1062</v>
      </c>
      <c r="BA51" t="s">
        <v>242</v>
      </c>
      <c r="BB51">
        <v>13748591.93</v>
      </c>
      <c r="BC51">
        <v>14062529.01</v>
      </c>
      <c r="BD51">
        <v>491690</v>
      </c>
      <c r="BG51">
        <v>1062</v>
      </c>
      <c r="BH51" t="s">
        <v>242</v>
      </c>
      <c r="BI51">
        <v>65366.13</v>
      </c>
      <c r="BJ51">
        <v>1129612.71</v>
      </c>
    </row>
    <row r="52" spans="1:62" x14ac:dyDescent="0.25">
      <c r="A52">
        <v>1089</v>
      </c>
      <c r="B52" t="s">
        <v>244</v>
      </c>
      <c r="C52">
        <v>0</v>
      </c>
      <c r="D52">
        <v>773322.27</v>
      </c>
      <c r="E52">
        <v>4374549.0599999996</v>
      </c>
      <c r="F52">
        <v>4459156.7400000012</v>
      </c>
      <c r="G52">
        <v>167849</v>
      </c>
      <c r="H52">
        <v>0</v>
      </c>
      <c r="I52">
        <v>569337.62</v>
      </c>
      <c r="J52">
        <v>4293871.7300000004</v>
      </c>
      <c r="K52">
        <v>4468470.7700000005</v>
      </c>
      <c r="L52">
        <v>181727</v>
      </c>
      <c r="M52">
        <v>0</v>
      </c>
      <c r="N52">
        <v>444526.77</v>
      </c>
      <c r="O52">
        <v>4864702.1900000004</v>
      </c>
      <c r="P52">
        <v>4910314.4000000004</v>
      </c>
      <c r="Q52">
        <v>191867</v>
      </c>
      <c r="R52">
        <v>0</v>
      </c>
      <c r="S52">
        <v>703321.75</v>
      </c>
      <c r="T52">
        <v>5065764.5199999996</v>
      </c>
      <c r="U52">
        <v>4800320.8600000003</v>
      </c>
      <c r="V52">
        <v>174264</v>
      </c>
      <c r="W52">
        <v>0</v>
      </c>
      <c r="X52">
        <v>602272.59</v>
      </c>
      <c r="Y52">
        <v>4820124.9800000004</v>
      </c>
      <c r="Z52">
        <v>4846085.7500000009</v>
      </c>
      <c r="AA52">
        <v>175048</v>
      </c>
      <c r="AB52">
        <v>0</v>
      </c>
      <c r="AC52">
        <v>390900.43</v>
      </c>
      <c r="AD52">
        <v>4988940.17</v>
      </c>
      <c r="AE52">
        <v>5219964.8600000013</v>
      </c>
      <c r="AF52">
        <v>184961</v>
      </c>
      <c r="AZ52">
        <v>1071</v>
      </c>
      <c r="BA52" t="s">
        <v>243</v>
      </c>
      <c r="BB52">
        <v>14353085.380000001</v>
      </c>
      <c r="BC52">
        <v>13964745.370000001</v>
      </c>
      <c r="BD52">
        <v>532868</v>
      </c>
      <c r="BG52">
        <v>1071</v>
      </c>
      <c r="BH52" t="s">
        <v>243</v>
      </c>
      <c r="BI52">
        <v>0</v>
      </c>
      <c r="BJ52">
        <v>2189595.5299999998</v>
      </c>
    </row>
    <row r="53" spans="1:62" x14ac:dyDescent="0.25">
      <c r="A53">
        <v>1080</v>
      </c>
      <c r="B53" t="s">
        <v>245</v>
      </c>
      <c r="C53">
        <v>0</v>
      </c>
      <c r="D53">
        <v>149443.88</v>
      </c>
      <c r="E53">
        <v>5238219.2300000004</v>
      </c>
      <c r="F53">
        <v>5171229.82</v>
      </c>
      <c r="G53">
        <v>210145</v>
      </c>
      <c r="H53">
        <v>0</v>
      </c>
      <c r="I53">
        <v>62487.55</v>
      </c>
      <c r="J53">
        <v>5077568.87</v>
      </c>
      <c r="K53">
        <v>5130042.28</v>
      </c>
      <c r="L53">
        <v>224868</v>
      </c>
      <c r="M53">
        <v>0</v>
      </c>
      <c r="N53">
        <v>526601.93999999994</v>
      </c>
      <c r="O53">
        <v>5545286.3399999999</v>
      </c>
      <c r="P53">
        <v>5042807.8100000005</v>
      </c>
      <c r="Q53">
        <v>226317</v>
      </c>
      <c r="R53">
        <v>0</v>
      </c>
      <c r="S53">
        <v>1104716.1399999999</v>
      </c>
      <c r="T53">
        <v>5450656.4400000004</v>
      </c>
      <c r="U53">
        <v>4853708.03</v>
      </c>
      <c r="V53">
        <v>199737</v>
      </c>
      <c r="W53">
        <v>0</v>
      </c>
      <c r="X53">
        <v>1314864.3</v>
      </c>
      <c r="Y53">
        <v>5334910.09</v>
      </c>
      <c r="Z53">
        <v>5126660.08</v>
      </c>
      <c r="AA53">
        <v>199215</v>
      </c>
      <c r="AB53">
        <v>0</v>
      </c>
      <c r="AC53">
        <v>1470978.22</v>
      </c>
      <c r="AD53">
        <v>5289775.1100000003</v>
      </c>
      <c r="AE53">
        <v>5067712.26</v>
      </c>
      <c r="AF53">
        <v>206064</v>
      </c>
      <c r="AZ53">
        <v>1089</v>
      </c>
      <c r="BA53" t="s">
        <v>244</v>
      </c>
      <c r="BB53">
        <v>4988940.17</v>
      </c>
      <c r="BC53">
        <v>5219964.8600000013</v>
      </c>
      <c r="BD53">
        <v>175048</v>
      </c>
      <c r="BG53">
        <v>1089</v>
      </c>
      <c r="BH53" t="s">
        <v>244</v>
      </c>
      <c r="BI53">
        <v>0</v>
      </c>
      <c r="BJ53">
        <v>750.05</v>
      </c>
    </row>
    <row r="54" spans="1:62" x14ac:dyDescent="0.25">
      <c r="A54">
        <v>1082</v>
      </c>
      <c r="B54" t="s">
        <v>246</v>
      </c>
      <c r="C54">
        <v>0</v>
      </c>
      <c r="D54">
        <v>733965.8</v>
      </c>
      <c r="E54">
        <v>13292230.73</v>
      </c>
      <c r="F54">
        <v>13686991.130000001</v>
      </c>
      <c r="G54">
        <v>562122</v>
      </c>
      <c r="H54">
        <v>0</v>
      </c>
      <c r="I54">
        <v>-281108.09000000003</v>
      </c>
      <c r="J54">
        <v>13220154.859999999</v>
      </c>
      <c r="K54">
        <v>14215548.790000001</v>
      </c>
      <c r="L54">
        <v>607553</v>
      </c>
      <c r="M54">
        <v>0</v>
      </c>
      <c r="N54">
        <v>-181706.87</v>
      </c>
      <c r="O54">
        <v>14225375.939999999</v>
      </c>
      <c r="P54">
        <v>14060421.799999999</v>
      </c>
      <c r="Q54">
        <v>632770</v>
      </c>
      <c r="R54">
        <v>0</v>
      </c>
      <c r="S54">
        <v>537907.68999999994</v>
      </c>
      <c r="T54">
        <v>15079713.58</v>
      </c>
      <c r="U54">
        <v>14351444.41</v>
      </c>
      <c r="V54">
        <v>578475</v>
      </c>
      <c r="W54">
        <v>0</v>
      </c>
      <c r="X54">
        <v>960920.18</v>
      </c>
      <c r="Y54">
        <v>14920370.92</v>
      </c>
      <c r="Z54">
        <v>14565665.26</v>
      </c>
      <c r="AA54">
        <v>578390</v>
      </c>
      <c r="AB54">
        <v>0</v>
      </c>
      <c r="AC54">
        <v>1495489.86</v>
      </c>
      <c r="AD54">
        <v>15253379.24</v>
      </c>
      <c r="AE54">
        <v>14711790.060000001</v>
      </c>
      <c r="AF54">
        <v>594683</v>
      </c>
      <c r="AZ54">
        <v>1080</v>
      </c>
      <c r="BA54" t="s">
        <v>245</v>
      </c>
      <c r="BB54">
        <v>5289775.1100000003</v>
      </c>
      <c r="BC54">
        <v>5067712.26</v>
      </c>
      <c r="BD54">
        <v>199215</v>
      </c>
      <c r="BG54">
        <v>1080</v>
      </c>
      <c r="BH54" t="s">
        <v>245</v>
      </c>
      <c r="BI54">
        <v>0</v>
      </c>
      <c r="BJ54">
        <v>1453311.84</v>
      </c>
    </row>
    <row r="55" spans="1:62" x14ac:dyDescent="0.25">
      <c r="A55">
        <v>1093</v>
      </c>
      <c r="B55" t="s">
        <v>247</v>
      </c>
      <c r="C55">
        <v>0</v>
      </c>
      <c r="D55">
        <v>808106.93</v>
      </c>
      <c r="E55">
        <v>6951489.7199999997</v>
      </c>
      <c r="F55">
        <v>6702554.29</v>
      </c>
      <c r="G55">
        <v>253488</v>
      </c>
      <c r="H55">
        <v>0</v>
      </c>
      <c r="I55">
        <v>746340.54</v>
      </c>
      <c r="J55">
        <v>6836156.4000000004</v>
      </c>
      <c r="K55">
        <v>6727599.6699999999</v>
      </c>
      <c r="L55">
        <v>280012</v>
      </c>
      <c r="M55">
        <v>0</v>
      </c>
      <c r="N55">
        <v>1022633.74</v>
      </c>
      <c r="O55">
        <v>7258165.71</v>
      </c>
      <c r="P55">
        <v>6902923.9199999999</v>
      </c>
      <c r="Q55">
        <v>281671</v>
      </c>
      <c r="R55">
        <v>0</v>
      </c>
      <c r="S55">
        <v>1248184.81</v>
      </c>
      <c r="T55">
        <v>7439557.8399999999</v>
      </c>
      <c r="U55">
        <v>7287429.96</v>
      </c>
      <c r="V55">
        <v>249841</v>
      </c>
      <c r="W55">
        <v>0</v>
      </c>
      <c r="X55">
        <v>1008433.69</v>
      </c>
      <c r="Y55">
        <v>7366547.7599999998</v>
      </c>
      <c r="Z55">
        <v>7620419.8300000001</v>
      </c>
      <c r="AA55">
        <v>249707</v>
      </c>
      <c r="AB55">
        <v>0</v>
      </c>
      <c r="AC55">
        <v>1103971.68</v>
      </c>
      <c r="AD55">
        <v>8002850.4000000004</v>
      </c>
      <c r="AE55">
        <v>7865111.5199999996</v>
      </c>
      <c r="AF55">
        <v>265441</v>
      </c>
      <c r="AZ55">
        <v>1082</v>
      </c>
      <c r="BA55" t="s">
        <v>246</v>
      </c>
      <c r="BB55">
        <v>15253379.24</v>
      </c>
      <c r="BC55">
        <v>14711790.060000001</v>
      </c>
      <c r="BD55">
        <v>578390</v>
      </c>
      <c r="BG55">
        <v>1082</v>
      </c>
      <c r="BH55" t="s">
        <v>246</v>
      </c>
      <c r="BI55">
        <v>0</v>
      </c>
      <c r="BJ55">
        <v>1777057.28</v>
      </c>
    </row>
    <row r="56" spans="1:62" x14ac:dyDescent="0.25">
      <c r="A56">
        <v>1079</v>
      </c>
      <c r="B56" t="s">
        <v>248</v>
      </c>
      <c r="C56">
        <v>0</v>
      </c>
      <c r="D56">
        <v>345880.36</v>
      </c>
      <c r="E56">
        <v>9172186.3000000007</v>
      </c>
      <c r="F56">
        <v>8698563.4299999997</v>
      </c>
      <c r="G56">
        <v>321260</v>
      </c>
      <c r="H56">
        <v>0</v>
      </c>
      <c r="I56">
        <v>679819.44</v>
      </c>
      <c r="J56">
        <v>8960626.7400000002</v>
      </c>
      <c r="K56">
        <v>8553233.2699999996</v>
      </c>
      <c r="L56">
        <v>347801</v>
      </c>
      <c r="M56">
        <v>0</v>
      </c>
      <c r="N56">
        <v>1055775.08</v>
      </c>
      <c r="O56">
        <v>9216571.5299999993</v>
      </c>
      <c r="P56">
        <v>8826011.8000000007</v>
      </c>
      <c r="Q56">
        <v>351004</v>
      </c>
      <c r="R56">
        <v>0</v>
      </c>
      <c r="S56">
        <v>1456834</v>
      </c>
      <c r="T56">
        <v>9572035.9299999997</v>
      </c>
      <c r="U56">
        <v>9155028.9000000004</v>
      </c>
      <c r="V56">
        <v>311259</v>
      </c>
      <c r="W56">
        <v>0</v>
      </c>
      <c r="X56">
        <v>1855304.62</v>
      </c>
      <c r="Y56">
        <v>9670513.8200000003</v>
      </c>
      <c r="Z56">
        <v>9287905.839999998</v>
      </c>
      <c r="AA56">
        <v>308843</v>
      </c>
      <c r="AB56">
        <v>0</v>
      </c>
      <c r="AC56">
        <v>2126662.7799999998</v>
      </c>
      <c r="AD56">
        <v>10071530.5</v>
      </c>
      <c r="AE56">
        <v>9771836.3399999999</v>
      </c>
      <c r="AF56">
        <v>323122</v>
      </c>
      <c r="AZ56">
        <v>1093</v>
      </c>
      <c r="BA56" t="s">
        <v>247</v>
      </c>
      <c r="BB56">
        <v>8002850.4000000004</v>
      </c>
      <c r="BC56">
        <v>7865111.5199999996</v>
      </c>
      <c r="BD56">
        <v>249707</v>
      </c>
      <c r="BG56">
        <v>1093</v>
      </c>
      <c r="BH56" t="s">
        <v>247</v>
      </c>
      <c r="BI56">
        <v>0</v>
      </c>
      <c r="BJ56">
        <v>1324418.3799999999</v>
      </c>
    </row>
    <row r="57" spans="1:62" x14ac:dyDescent="0.25">
      <c r="A57">
        <v>1095</v>
      </c>
      <c r="B57" t="s">
        <v>249</v>
      </c>
      <c r="C57">
        <v>0</v>
      </c>
      <c r="D57">
        <v>1386963.59</v>
      </c>
      <c r="E57">
        <v>6187425.1600000001</v>
      </c>
      <c r="F57">
        <v>6174070.3099999987</v>
      </c>
      <c r="G57">
        <v>255284</v>
      </c>
      <c r="H57">
        <v>0</v>
      </c>
      <c r="I57">
        <v>980235.25</v>
      </c>
      <c r="J57">
        <v>6006526.3099999996</v>
      </c>
      <c r="K57">
        <v>6334194.9600000009</v>
      </c>
      <c r="L57">
        <v>283786</v>
      </c>
      <c r="M57">
        <v>0</v>
      </c>
      <c r="N57">
        <v>648063.97</v>
      </c>
      <c r="O57">
        <v>6551942.6299999999</v>
      </c>
      <c r="P57">
        <v>6929547.2699999996</v>
      </c>
      <c r="Q57">
        <v>298195</v>
      </c>
      <c r="R57">
        <v>0</v>
      </c>
      <c r="S57">
        <v>1057606.1399999999</v>
      </c>
      <c r="T57">
        <v>7291596.3700000001</v>
      </c>
      <c r="U57">
        <v>6913802.1900000004</v>
      </c>
      <c r="V57">
        <v>279254</v>
      </c>
      <c r="W57">
        <v>0</v>
      </c>
      <c r="X57">
        <v>946532.15</v>
      </c>
      <c r="Y57">
        <v>7125348.7599999998</v>
      </c>
      <c r="Z57">
        <v>7173716.4499999993</v>
      </c>
      <c r="AA57">
        <v>280047</v>
      </c>
      <c r="AB57">
        <v>0</v>
      </c>
      <c r="AC57">
        <v>641017.72</v>
      </c>
      <c r="AD57">
        <v>7197967.7199999997</v>
      </c>
      <c r="AE57">
        <v>7465625.3400000008</v>
      </c>
      <c r="AF57">
        <v>285644</v>
      </c>
      <c r="AZ57">
        <v>1079</v>
      </c>
      <c r="BA57" t="s">
        <v>248</v>
      </c>
      <c r="BB57">
        <v>10071530.5</v>
      </c>
      <c r="BC57">
        <v>9771836.3399999999</v>
      </c>
      <c r="BD57">
        <v>308843</v>
      </c>
      <c r="BG57">
        <v>1079</v>
      </c>
      <c r="BH57" t="s">
        <v>248</v>
      </c>
      <c r="BI57">
        <v>0</v>
      </c>
      <c r="BJ57">
        <v>1821870.29</v>
      </c>
    </row>
    <row r="58" spans="1:62" x14ac:dyDescent="0.25">
      <c r="A58">
        <v>4772</v>
      </c>
      <c r="B58" t="s">
        <v>250</v>
      </c>
      <c r="C58">
        <v>0</v>
      </c>
      <c r="D58">
        <v>-458094.29</v>
      </c>
      <c r="E58">
        <v>5186668.92</v>
      </c>
      <c r="F58">
        <v>5568356.8100000005</v>
      </c>
      <c r="G58">
        <v>195416</v>
      </c>
      <c r="H58">
        <v>0</v>
      </c>
      <c r="I58">
        <v>-1588051.38</v>
      </c>
      <c r="J58">
        <v>4994924.22</v>
      </c>
      <c r="K58">
        <v>6164448.4299999997</v>
      </c>
      <c r="L58">
        <v>220393</v>
      </c>
      <c r="M58">
        <v>0</v>
      </c>
      <c r="N58">
        <v>-583808.38</v>
      </c>
      <c r="O58">
        <v>6381781.25</v>
      </c>
      <c r="P58">
        <v>5368870.0499999998</v>
      </c>
      <c r="Q58">
        <v>223466</v>
      </c>
      <c r="R58">
        <v>0</v>
      </c>
      <c r="S58">
        <v>410456.53</v>
      </c>
      <c r="T58">
        <v>10188415.59</v>
      </c>
      <c r="U58">
        <v>9337992.379999999</v>
      </c>
      <c r="V58">
        <v>362764</v>
      </c>
      <c r="W58">
        <v>0</v>
      </c>
      <c r="X58">
        <v>1299083.3600000001</v>
      </c>
      <c r="Y58">
        <v>10056293.18</v>
      </c>
      <c r="Z58">
        <v>9090015.2300000004</v>
      </c>
      <c r="AA58">
        <v>350365</v>
      </c>
      <c r="AB58">
        <v>0</v>
      </c>
      <c r="AC58">
        <v>2231349.9500000002</v>
      </c>
      <c r="AD58">
        <v>10044789.26</v>
      </c>
      <c r="AE58">
        <v>9054571.5899999999</v>
      </c>
      <c r="AF58">
        <v>362791</v>
      </c>
      <c r="AZ58">
        <v>1095</v>
      </c>
      <c r="BA58" t="s">
        <v>249</v>
      </c>
      <c r="BB58">
        <v>7197967.7199999997</v>
      </c>
      <c r="BC58">
        <v>7465625.3400000008</v>
      </c>
      <c r="BD58">
        <v>280047</v>
      </c>
      <c r="BG58">
        <v>1095</v>
      </c>
      <c r="BH58" t="s">
        <v>249</v>
      </c>
      <c r="BI58">
        <v>0</v>
      </c>
      <c r="BJ58">
        <v>155771.32999999999</v>
      </c>
    </row>
    <row r="59" spans="1:62" x14ac:dyDescent="0.25">
      <c r="A59">
        <v>1107</v>
      </c>
      <c r="B59" t="s">
        <v>251</v>
      </c>
      <c r="C59">
        <v>0</v>
      </c>
      <c r="D59">
        <v>1166608.46</v>
      </c>
      <c r="E59">
        <v>13670685.58</v>
      </c>
      <c r="F59">
        <v>13202831.41</v>
      </c>
      <c r="G59">
        <v>561531</v>
      </c>
      <c r="H59">
        <v>0</v>
      </c>
      <c r="I59">
        <v>1194319.6399999999</v>
      </c>
      <c r="J59">
        <v>13343632</v>
      </c>
      <c r="K59">
        <v>13151378.790000001</v>
      </c>
      <c r="L59">
        <v>603840</v>
      </c>
      <c r="M59">
        <v>0</v>
      </c>
      <c r="N59">
        <v>2000313.13</v>
      </c>
      <c r="O59">
        <v>14038574.92</v>
      </c>
      <c r="P59">
        <v>13154262.49</v>
      </c>
      <c r="Q59">
        <v>606617</v>
      </c>
      <c r="R59">
        <v>0</v>
      </c>
      <c r="S59">
        <v>3174335.35</v>
      </c>
      <c r="T59">
        <v>14420041.050000001</v>
      </c>
      <c r="U59">
        <v>13260167.539999999</v>
      </c>
      <c r="V59">
        <v>546816</v>
      </c>
      <c r="W59">
        <v>0</v>
      </c>
      <c r="X59">
        <v>3658187.66</v>
      </c>
      <c r="Y59">
        <v>13811710.5</v>
      </c>
      <c r="Z59">
        <v>13271302.290000003</v>
      </c>
      <c r="AA59">
        <v>543191</v>
      </c>
      <c r="AB59">
        <v>0</v>
      </c>
      <c r="AC59">
        <v>3166800.56</v>
      </c>
      <c r="AD59">
        <v>13585499.82</v>
      </c>
      <c r="AE59">
        <v>14039125.480000002</v>
      </c>
      <c r="AF59">
        <v>559121</v>
      </c>
      <c r="AZ59">
        <v>4772</v>
      </c>
      <c r="BA59" t="s">
        <v>612</v>
      </c>
      <c r="BB59">
        <v>10044789.26</v>
      </c>
      <c r="BC59">
        <v>9054571.5899999999</v>
      </c>
      <c r="BD59">
        <v>350365</v>
      </c>
      <c r="BG59">
        <v>4772</v>
      </c>
      <c r="BH59" t="s">
        <v>612</v>
      </c>
      <c r="BI59">
        <v>0</v>
      </c>
      <c r="BJ59">
        <v>1314514.8</v>
      </c>
    </row>
    <row r="60" spans="1:62" x14ac:dyDescent="0.25">
      <c r="A60">
        <v>1116</v>
      </c>
      <c r="B60" t="s">
        <v>252</v>
      </c>
      <c r="C60">
        <v>251303.28</v>
      </c>
      <c r="D60">
        <v>1267517.45</v>
      </c>
      <c r="E60">
        <v>14899818.25</v>
      </c>
      <c r="F60">
        <v>14905167.710000001</v>
      </c>
      <c r="G60">
        <v>600931</v>
      </c>
      <c r="H60">
        <v>269423</v>
      </c>
      <c r="I60">
        <v>504670.93</v>
      </c>
      <c r="J60">
        <v>14939136.83</v>
      </c>
      <c r="K60">
        <v>15652097.639999999</v>
      </c>
      <c r="L60">
        <v>698523</v>
      </c>
      <c r="M60">
        <v>0</v>
      </c>
      <c r="N60">
        <v>1243817.8500000001</v>
      </c>
      <c r="O60">
        <v>15983103.890000001</v>
      </c>
      <c r="P60">
        <v>15107929.419999998</v>
      </c>
      <c r="Q60">
        <v>701884</v>
      </c>
      <c r="R60">
        <v>0</v>
      </c>
      <c r="S60">
        <v>1903428.75</v>
      </c>
      <c r="T60">
        <v>16212661.880000001</v>
      </c>
      <c r="U60">
        <v>15594078.009999998</v>
      </c>
      <c r="V60">
        <v>636252</v>
      </c>
      <c r="W60">
        <v>0</v>
      </c>
      <c r="X60">
        <v>1924530.2</v>
      </c>
      <c r="Y60">
        <v>15844599.460000001</v>
      </c>
      <c r="Z60">
        <v>15911957.84</v>
      </c>
      <c r="AA60">
        <v>627053</v>
      </c>
      <c r="AB60">
        <v>0</v>
      </c>
      <c r="AC60">
        <v>1572060.13</v>
      </c>
      <c r="AD60">
        <v>16156677.619999999</v>
      </c>
      <c r="AE60">
        <v>16362123.289999999</v>
      </c>
      <c r="AF60">
        <v>669154</v>
      </c>
      <c r="AZ60">
        <v>1107</v>
      </c>
      <c r="BA60" t="s">
        <v>251</v>
      </c>
      <c r="BB60">
        <v>13585499.82</v>
      </c>
      <c r="BC60">
        <v>14039125.480000002</v>
      </c>
      <c r="BD60">
        <v>543191</v>
      </c>
      <c r="BG60">
        <v>1107</v>
      </c>
      <c r="BH60" t="s">
        <v>251</v>
      </c>
      <c r="BI60">
        <v>0</v>
      </c>
      <c r="BJ60">
        <v>2284099.2000000002</v>
      </c>
    </row>
    <row r="61" spans="1:62" x14ac:dyDescent="0.25">
      <c r="A61">
        <v>1134</v>
      </c>
      <c r="B61" t="s">
        <v>253</v>
      </c>
      <c r="C61">
        <v>0</v>
      </c>
      <c r="D61">
        <v>643984.36</v>
      </c>
      <c r="E61">
        <v>3265517.15</v>
      </c>
      <c r="F61">
        <v>3112638.5100000002</v>
      </c>
      <c r="G61">
        <v>121409</v>
      </c>
      <c r="H61">
        <v>0</v>
      </c>
      <c r="I61">
        <v>905035.36</v>
      </c>
      <c r="J61">
        <v>3359650.49</v>
      </c>
      <c r="K61">
        <v>3100821.13</v>
      </c>
      <c r="L61">
        <v>130790</v>
      </c>
      <c r="M61">
        <v>0</v>
      </c>
      <c r="N61">
        <v>1106414.3400000001</v>
      </c>
      <c r="O61">
        <v>3566850.04</v>
      </c>
      <c r="P61">
        <v>3366573.52</v>
      </c>
      <c r="Q61">
        <v>136948</v>
      </c>
      <c r="R61">
        <v>0</v>
      </c>
      <c r="S61">
        <v>1125198.78</v>
      </c>
      <c r="T61">
        <v>3399828.41</v>
      </c>
      <c r="U61">
        <v>3399854.6600000006</v>
      </c>
      <c r="V61">
        <v>121896</v>
      </c>
      <c r="W61">
        <v>0</v>
      </c>
      <c r="X61">
        <v>919203</v>
      </c>
      <c r="Y61">
        <v>3247671.5</v>
      </c>
      <c r="Z61">
        <v>3435574.62</v>
      </c>
      <c r="AA61">
        <v>122723</v>
      </c>
      <c r="AB61">
        <v>0</v>
      </c>
      <c r="AC61">
        <v>655064.49</v>
      </c>
      <c r="AD61">
        <v>3341687.82</v>
      </c>
      <c r="AE61">
        <v>3602247.42</v>
      </c>
      <c r="AF61">
        <v>125940</v>
      </c>
      <c r="AZ61">
        <v>1116</v>
      </c>
      <c r="BA61" t="s">
        <v>252</v>
      </c>
      <c r="BB61">
        <v>16156677.619999999</v>
      </c>
      <c r="BC61">
        <v>16362123.289999999</v>
      </c>
      <c r="BD61">
        <v>627053</v>
      </c>
      <c r="BG61">
        <v>1116</v>
      </c>
      <c r="BH61" t="s">
        <v>252</v>
      </c>
      <c r="BI61">
        <v>0</v>
      </c>
      <c r="BJ61">
        <v>1403978.58</v>
      </c>
    </row>
    <row r="62" spans="1:62" x14ac:dyDescent="0.25">
      <c r="A62">
        <v>1152</v>
      </c>
      <c r="B62" t="s">
        <v>254</v>
      </c>
      <c r="C62">
        <v>500654.07</v>
      </c>
      <c r="D62">
        <v>445115.17</v>
      </c>
      <c r="E62">
        <v>9146380</v>
      </c>
      <c r="F62">
        <v>9087712.9299999997</v>
      </c>
      <c r="G62">
        <v>366161</v>
      </c>
      <c r="H62">
        <v>500654.07</v>
      </c>
      <c r="I62">
        <v>289260.11</v>
      </c>
      <c r="J62">
        <v>9101795.0099999998</v>
      </c>
      <c r="K62">
        <v>9199773.9500000011</v>
      </c>
      <c r="L62">
        <v>411845</v>
      </c>
      <c r="M62">
        <v>0</v>
      </c>
      <c r="N62">
        <v>1137546.1499999999</v>
      </c>
      <c r="O62">
        <v>9626890.1699999999</v>
      </c>
      <c r="P62">
        <v>9212150.4900000002</v>
      </c>
      <c r="Q62">
        <v>413858</v>
      </c>
      <c r="R62">
        <v>0</v>
      </c>
      <c r="S62">
        <v>1511439.27</v>
      </c>
      <c r="T62">
        <v>9744390.6899999995</v>
      </c>
      <c r="U62">
        <v>9369972.7600000016</v>
      </c>
      <c r="V62">
        <v>367805</v>
      </c>
      <c r="W62">
        <v>0</v>
      </c>
      <c r="X62">
        <v>1506387.96</v>
      </c>
      <c r="Y62">
        <v>9622305.7599999998</v>
      </c>
      <c r="Z62">
        <v>9626668.120000001</v>
      </c>
      <c r="AA62">
        <v>369342</v>
      </c>
      <c r="AB62">
        <v>0</v>
      </c>
      <c r="AC62">
        <v>1728691.8</v>
      </c>
      <c r="AD62">
        <v>10100574.890000001</v>
      </c>
      <c r="AE62">
        <v>9863853.9500000011</v>
      </c>
      <c r="AF62">
        <v>389347</v>
      </c>
      <c r="AZ62">
        <v>1134</v>
      </c>
      <c r="BA62" t="s">
        <v>253</v>
      </c>
      <c r="BB62">
        <v>3341687.82</v>
      </c>
      <c r="BC62">
        <v>3602247.42</v>
      </c>
      <c r="BD62">
        <v>122723</v>
      </c>
      <c r="BG62">
        <v>1134</v>
      </c>
      <c r="BH62" t="s">
        <v>253</v>
      </c>
      <c r="BI62">
        <v>0</v>
      </c>
      <c r="BJ62">
        <v>395665.05</v>
      </c>
    </row>
    <row r="63" spans="1:62" x14ac:dyDescent="0.25">
      <c r="A63">
        <v>1197</v>
      </c>
      <c r="B63" t="s">
        <v>255</v>
      </c>
      <c r="C63">
        <v>0</v>
      </c>
      <c r="D63">
        <v>1118089.3600000001</v>
      </c>
      <c r="E63">
        <v>9557309.2899999991</v>
      </c>
      <c r="F63">
        <v>9779113.2400000002</v>
      </c>
      <c r="G63">
        <v>342355</v>
      </c>
      <c r="H63">
        <v>0</v>
      </c>
      <c r="I63">
        <v>886400.22</v>
      </c>
      <c r="J63">
        <v>9620854.1999999993</v>
      </c>
      <c r="K63">
        <v>9812119.8200000003</v>
      </c>
      <c r="L63">
        <v>387290</v>
      </c>
      <c r="M63">
        <v>0</v>
      </c>
      <c r="N63">
        <v>1581074.03</v>
      </c>
      <c r="O63">
        <v>10669166.460000001</v>
      </c>
      <c r="P63">
        <v>9974386.7699999996</v>
      </c>
      <c r="Q63">
        <v>388675</v>
      </c>
      <c r="R63">
        <v>0</v>
      </c>
      <c r="S63">
        <v>2022294.83</v>
      </c>
      <c r="T63">
        <v>10402831.310000001</v>
      </c>
      <c r="U63">
        <v>9969634.7899999991</v>
      </c>
      <c r="V63">
        <v>346777</v>
      </c>
      <c r="W63">
        <v>0</v>
      </c>
      <c r="X63">
        <v>2095734.53</v>
      </c>
      <c r="Y63">
        <v>9954222.9399999995</v>
      </c>
      <c r="Z63">
        <v>9880541.2699999996</v>
      </c>
      <c r="AA63">
        <v>349318</v>
      </c>
      <c r="AB63">
        <v>0</v>
      </c>
      <c r="AC63">
        <v>1815588.92</v>
      </c>
      <c r="AD63">
        <v>9972291.0800000001</v>
      </c>
      <c r="AE63">
        <v>10233290.129999999</v>
      </c>
      <c r="AF63">
        <v>367327</v>
      </c>
      <c r="AZ63">
        <v>1152</v>
      </c>
      <c r="BA63" t="s">
        <v>254</v>
      </c>
      <c r="BB63">
        <v>10100574.890000001</v>
      </c>
      <c r="BC63">
        <v>9863853.9500000011</v>
      </c>
      <c r="BD63">
        <v>369342</v>
      </c>
      <c r="BG63">
        <v>1152</v>
      </c>
      <c r="BH63" t="s">
        <v>254</v>
      </c>
      <c r="BI63">
        <v>0</v>
      </c>
      <c r="BJ63">
        <v>1808311.14</v>
      </c>
    </row>
    <row r="64" spans="1:62" x14ac:dyDescent="0.25">
      <c r="A64">
        <v>1206</v>
      </c>
      <c r="B64" t="s">
        <v>256</v>
      </c>
      <c r="C64">
        <v>0</v>
      </c>
      <c r="D64">
        <v>5038.04</v>
      </c>
      <c r="E64">
        <v>8514464.7899999991</v>
      </c>
      <c r="F64">
        <v>8766511.5599999987</v>
      </c>
      <c r="G64">
        <v>314550</v>
      </c>
      <c r="H64">
        <v>0</v>
      </c>
      <c r="I64">
        <v>-369567.67</v>
      </c>
      <c r="J64">
        <v>8475065.4800000004</v>
      </c>
      <c r="K64">
        <v>8834546.4299999978</v>
      </c>
      <c r="L64">
        <v>359742</v>
      </c>
      <c r="M64">
        <v>0</v>
      </c>
      <c r="N64">
        <v>-32897.870000000003</v>
      </c>
      <c r="O64">
        <v>9241749.5500000007</v>
      </c>
      <c r="P64">
        <v>8819944.7100000009</v>
      </c>
      <c r="Q64">
        <v>356650</v>
      </c>
      <c r="R64">
        <v>0</v>
      </c>
      <c r="S64">
        <v>220846.18</v>
      </c>
      <c r="T64">
        <v>9216938.8699999992</v>
      </c>
      <c r="U64">
        <v>8872992.2299999986</v>
      </c>
      <c r="V64">
        <v>318872</v>
      </c>
      <c r="W64">
        <v>0</v>
      </c>
      <c r="X64">
        <v>403723.31</v>
      </c>
      <c r="Y64">
        <v>9277102.2699999996</v>
      </c>
      <c r="Z64">
        <v>9077115.6699999999</v>
      </c>
      <c r="AA64">
        <v>323075</v>
      </c>
      <c r="AB64">
        <v>0</v>
      </c>
      <c r="AC64">
        <v>448641.21</v>
      </c>
      <c r="AD64">
        <v>9934042.8699999992</v>
      </c>
      <c r="AE64">
        <v>9805909.0100000016</v>
      </c>
      <c r="AF64">
        <v>337203</v>
      </c>
      <c r="AZ64">
        <v>1197</v>
      </c>
      <c r="BA64" t="s">
        <v>255</v>
      </c>
      <c r="BB64">
        <v>9972291.0800000001</v>
      </c>
      <c r="BC64">
        <v>10233290.129999999</v>
      </c>
      <c r="BD64">
        <v>349318</v>
      </c>
      <c r="BG64">
        <v>1197</v>
      </c>
      <c r="BH64" t="s">
        <v>255</v>
      </c>
      <c r="BI64">
        <v>0</v>
      </c>
      <c r="BJ64">
        <v>1805644.74</v>
      </c>
    </row>
    <row r="65" spans="1:62" x14ac:dyDescent="0.25">
      <c r="A65">
        <v>1211</v>
      </c>
      <c r="B65" t="s">
        <v>257</v>
      </c>
      <c r="C65">
        <v>0</v>
      </c>
      <c r="D65">
        <v>223554.59</v>
      </c>
      <c r="E65">
        <v>11708172.310000001</v>
      </c>
      <c r="F65">
        <v>12261033.42</v>
      </c>
      <c r="G65">
        <v>489537</v>
      </c>
      <c r="H65">
        <v>0</v>
      </c>
      <c r="I65">
        <v>45389.599999999999</v>
      </c>
      <c r="J65">
        <v>12494497.93</v>
      </c>
      <c r="K65">
        <v>12422869.390000002</v>
      </c>
      <c r="L65">
        <v>543479</v>
      </c>
      <c r="M65">
        <v>0</v>
      </c>
      <c r="N65">
        <v>63340.42</v>
      </c>
      <c r="O65">
        <v>12721595.640000001</v>
      </c>
      <c r="P65">
        <v>11947975.260000002</v>
      </c>
      <c r="Q65">
        <v>556547</v>
      </c>
      <c r="R65">
        <v>0</v>
      </c>
      <c r="S65">
        <v>1880930.76</v>
      </c>
      <c r="T65">
        <v>13307880.68</v>
      </c>
      <c r="U65">
        <v>12343055.74</v>
      </c>
      <c r="V65">
        <v>505350</v>
      </c>
      <c r="W65">
        <v>0</v>
      </c>
      <c r="X65">
        <v>1930733.71</v>
      </c>
      <c r="Y65">
        <v>13443984.390000001</v>
      </c>
      <c r="Z65">
        <v>13498058.010000002</v>
      </c>
      <c r="AA65">
        <v>525955</v>
      </c>
      <c r="AB65">
        <v>0</v>
      </c>
      <c r="AC65">
        <v>2604805.4500000002</v>
      </c>
      <c r="AD65">
        <v>14552417.43</v>
      </c>
      <c r="AE65">
        <v>13860520.200000001</v>
      </c>
      <c r="AF65">
        <v>578176</v>
      </c>
      <c r="AZ65">
        <v>1206</v>
      </c>
      <c r="BA65" t="s">
        <v>601</v>
      </c>
      <c r="BB65">
        <v>9934042.8699999992</v>
      </c>
      <c r="BC65">
        <v>9805909.0100000016</v>
      </c>
      <c r="BD65">
        <v>323075</v>
      </c>
      <c r="BG65">
        <v>1206</v>
      </c>
      <c r="BH65" t="s">
        <v>601</v>
      </c>
      <c r="BI65">
        <v>0</v>
      </c>
      <c r="BJ65">
        <v>970622.52</v>
      </c>
    </row>
    <row r="66" spans="1:62" x14ac:dyDescent="0.25">
      <c r="A66">
        <v>1215</v>
      </c>
      <c r="B66" t="s">
        <v>258</v>
      </c>
      <c r="C66">
        <v>0</v>
      </c>
      <c r="D66">
        <v>171108.25</v>
      </c>
      <c r="E66">
        <v>3706892.51</v>
      </c>
      <c r="F66">
        <v>3575500.8500000006</v>
      </c>
      <c r="G66">
        <v>139317</v>
      </c>
      <c r="H66">
        <v>0</v>
      </c>
      <c r="I66">
        <v>42635.05</v>
      </c>
      <c r="J66">
        <v>3542518.37</v>
      </c>
      <c r="K66">
        <v>3640657.82</v>
      </c>
      <c r="L66">
        <v>163720</v>
      </c>
      <c r="M66">
        <v>0</v>
      </c>
      <c r="N66">
        <v>59892.47</v>
      </c>
      <c r="O66">
        <v>3816766.73</v>
      </c>
      <c r="P66">
        <v>3791735.02</v>
      </c>
      <c r="Q66">
        <v>170379</v>
      </c>
      <c r="R66">
        <v>0</v>
      </c>
      <c r="S66">
        <v>701044.85</v>
      </c>
      <c r="T66">
        <v>3855513.54</v>
      </c>
      <c r="U66">
        <v>3221310.34</v>
      </c>
      <c r="V66">
        <v>154404</v>
      </c>
      <c r="W66">
        <v>0</v>
      </c>
      <c r="X66">
        <v>739210.21</v>
      </c>
      <c r="Y66">
        <v>3614836.48</v>
      </c>
      <c r="Z66">
        <v>3575038.5400000005</v>
      </c>
      <c r="AA66">
        <v>149100</v>
      </c>
      <c r="AB66">
        <v>0</v>
      </c>
      <c r="AC66">
        <v>662225.84</v>
      </c>
      <c r="AD66">
        <v>3560920.28</v>
      </c>
      <c r="AE66">
        <v>3627452.77</v>
      </c>
      <c r="AF66">
        <v>152551</v>
      </c>
      <c r="AZ66">
        <v>1211</v>
      </c>
      <c r="BA66" t="s">
        <v>257</v>
      </c>
      <c r="BB66">
        <v>14552417.43</v>
      </c>
      <c r="BC66">
        <v>13860520.200000001</v>
      </c>
      <c r="BD66">
        <v>525955</v>
      </c>
      <c r="BG66">
        <v>1211</v>
      </c>
      <c r="BH66" t="s">
        <v>257</v>
      </c>
      <c r="BI66">
        <v>0</v>
      </c>
      <c r="BJ66">
        <v>3415712.51</v>
      </c>
    </row>
    <row r="67" spans="1:62" x14ac:dyDescent="0.25">
      <c r="A67">
        <v>1218</v>
      </c>
      <c r="B67" t="s">
        <v>259</v>
      </c>
      <c r="C67">
        <v>0</v>
      </c>
      <c r="D67">
        <v>-935441.86</v>
      </c>
      <c r="E67">
        <v>4312193.74</v>
      </c>
      <c r="F67">
        <v>4783192.6499999994</v>
      </c>
      <c r="G67">
        <v>155039</v>
      </c>
      <c r="H67">
        <v>0</v>
      </c>
      <c r="I67">
        <v>-1076017.47</v>
      </c>
      <c r="J67">
        <v>4167286.87</v>
      </c>
      <c r="K67">
        <v>4307862.4799999995</v>
      </c>
      <c r="L67">
        <v>167914</v>
      </c>
      <c r="M67">
        <v>0</v>
      </c>
      <c r="N67">
        <v>-593096.22</v>
      </c>
      <c r="O67">
        <v>5241843.92</v>
      </c>
      <c r="P67">
        <v>4715922.95</v>
      </c>
      <c r="Q67">
        <v>169332</v>
      </c>
      <c r="R67">
        <v>0</v>
      </c>
      <c r="S67">
        <v>-241425.41</v>
      </c>
      <c r="T67">
        <v>5046020.76</v>
      </c>
      <c r="U67">
        <v>3867561.17</v>
      </c>
      <c r="V67">
        <v>150941</v>
      </c>
      <c r="W67">
        <v>0</v>
      </c>
      <c r="X67">
        <v>1823737.27</v>
      </c>
      <c r="Y67">
        <v>4918816.33</v>
      </c>
      <c r="Z67">
        <v>3640965.41</v>
      </c>
      <c r="AA67">
        <v>154913</v>
      </c>
      <c r="AB67">
        <v>0</v>
      </c>
      <c r="AC67">
        <v>2566133.09</v>
      </c>
      <c r="AD67">
        <v>4877846.99</v>
      </c>
      <c r="AE67">
        <v>4126771.5899999994</v>
      </c>
      <c r="AF67">
        <v>155623</v>
      </c>
      <c r="AZ67">
        <v>1215</v>
      </c>
      <c r="BA67" t="s">
        <v>258</v>
      </c>
      <c r="BB67">
        <v>3560920.28</v>
      </c>
      <c r="BC67">
        <v>3627452.77</v>
      </c>
      <c r="BD67">
        <v>149100</v>
      </c>
      <c r="BG67">
        <v>1215</v>
      </c>
      <c r="BH67" t="s">
        <v>258</v>
      </c>
      <c r="BI67">
        <v>0</v>
      </c>
      <c r="BJ67">
        <v>340309.9</v>
      </c>
    </row>
    <row r="68" spans="1:62" x14ac:dyDescent="0.25">
      <c r="A68">
        <v>2763</v>
      </c>
      <c r="B68" t="s">
        <v>260</v>
      </c>
      <c r="C68">
        <v>0</v>
      </c>
      <c r="D68">
        <v>1544025.63</v>
      </c>
      <c r="E68">
        <v>6136190.4900000002</v>
      </c>
      <c r="F68">
        <v>6466744.1800000006</v>
      </c>
      <c r="G68">
        <v>257820</v>
      </c>
      <c r="H68">
        <v>0</v>
      </c>
      <c r="I68">
        <v>1051000.27</v>
      </c>
      <c r="J68">
        <v>6016385.71</v>
      </c>
      <c r="K68">
        <v>6497692.0700000003</v>
      </c>
      <c r="L68">
        <v>283455</v>
      </c>
      <c r="M68">
        <v>0</v>
      </c>
      <c r="N68">
        <v>840664.8</v>
      </c>
      <c r="O68">
        <v>6424076.9100000001</v>
      </c>
      <c r="P68">
        <v>6636575.1500000004</v>
      </c>
      <c r="Q68">
        <v>284616</v>
      </c>
      <c r="R68">
        <v>0</v>
      </c>
      <c r="S68">
        <v>939759.48</v>
      </c>
      <c r="T68">
        <v>6750899.5899999999</v>
      </c>
      <c r="U68">
        <v>6638695.6800000006</v>
      </c>
      <c r="V68">
        <v>252381</v>
      </c>
      <c r="W68">
        <v>0</v>
      </c>
      <c r="X68">
        <v>1190066.3400000001</v>
      </c>
      <c r="Y68">
        <v>7286960.8399999999</v>
      </c>
      <c r="Z68">
        <v>7000719.3300000001</v>
      </c>
      <c r="AA68">
        <v>254889</v>
      </c>
      <c r="AB68">
        <v>64657.919999999998</v>
      </c>
      <c r="AC68">
        <v>1123203.72</v>
      </c>
      <c r="AD68">
        <v>7855386.8700000001</v>
      </c>
      <c r="AE68">
        <v>7822817.4000000004</v>
      </c>
      <c r="AF68">
        <v>262397</v>
      </c>
      <c r="AZ68">
        <v>1218</v>
      </c>
      <c r="BA68" t="s">
        <v>259</v>
      </c>
      <c r="BB68">
        <v>4877846.99</v>
      </c>
      <c r="BC68">
        <v>4126771.5899999994</v>
      </c>
      <c r="BD68">
        <v>154913</v>
      </c>
      <c r="BG68">
        <v>1218</v>
      </c>
      <c r="BH68" t="s">
        <v>259</v>
      </c>
      <c r="BI68">
        <v>0</v>
      </c>
      <c r="BJ68">
        <v>2375635.33</v>
      </c>
    </row>
    <row r="69" spans="1:62" x14ac:dyDescent="0.25">
      <c r="A69">
        <v>1221</v>
      </c>
      <c r="B69" t="s">
        <v>261</v>
      </c>
      <c r="C69">
        <v>0</v>
      </c>
      <c r="D69">
        <v>1635382.86</v>
      </c>
      <c r="E69">
        <v>13538795.289999999</v>
      </c>
      <c r="F69">
        <v>13357780.600000001</v>
      </c>
      <c r="G69">
        <v>496524</v>
      </c>
      <c r="H69">
        <v>0</v>
      </c>
      <c r="I69">
        <v>1805685.73</v>
      </c>
      <c r="J69">
        <v>13940409.640000001</v>
      </c>
      <c r="K69">
        <v>13498115.859999999</v>
      </c>
      <c r="L69">
        <v>564144</v>
      </c>
      <c r="M69">
        <v>63144.32</v>
      </c>
      <c r="N69">
        <v>2699403.41</v>
      </c>
      <c r="O69">
        <v>15431122.73</v>
      </c>
      <c r="P69">
        <v>14110361.52</v>
      </c>
      <c r="Q69">
        <v>597803</v>
      </c>
      <c r="R69">
        <v>33469</v>
      </c>
      <c r="S69">
        <v>3901755.95</v>
      </c>
      <c r="T69">
        <v>16690833.74</v>
      </c>
      <c r="U69">
        <v>15146202.859999998</v>
      </c>
      <c r="V69">
        <v>586165</v>
      </c>
      <c r="W69">
        <v>33469</v>
      </c>
      <c r="X69">
        <v>3646557.73</v>
      </c>
      <c r="Y69">
        <v>17062494.609999999</v>
      </c>
      <c r="Z69">
        <v>17368323.460000001</v>
      </c>
      <c r="AA69">
        <v>614099</v>
      </c>
      <c r="AB69">
        <v>0</v>
      </c>
      <c r="AC69">
        <v>2224286.12</v>
      </c>
      <c r="AD69">
        <v>17478032.940000001</v>
      </c>
      <c r="AE69">
        <v>19276617.789999999</v>
      </c>
      <c r="AF69">
        <v>682767</v>
      </c>
      <c r="AZ69">
        <v>2763</v>
      </c>
      <c r="BA69" t="s">
        <v>260</v>
      </c>
      <c r="BB69">
        <v>7855386.8700000001</v>
      </c>
      <c r="BC69">
        <v>7822817.4000000004</v>
      </c>
      <c r="BD69">
        <v>254889</v>
      </c>
      <c r="BG69">
        <v>2763</v>
      </c>
      <c r="BH69" t="s">
        <v>260</v>
      </c>
      <c r="BI69">
        <v>64885.1</v>
      </c>
      <c r="BJ69">
        <v>1024546.87</v>
      </c>
    </row>
    <row r="70" spans="1:62" x14ac:dyDescent="0.25">
      <c r="A70">
        <v>1233</v>
      </c>
      <c r="B70" t="s">
        <v>262</v>
      </c>
      <c r="C70">
        <v>0</v>
      </c>
      <c r="D70">
        <v>596764.02</v>
      </c>
      <c r="E70">
        <v>12619703.949999999</v>
      </c>
      <c r="F70">
        <v>12319899.469999999</v>
      </c>
      <c r="G70">
        <v>489800</v>
      </c>
      <c r="H70">
        <v>0</v>
      </c>
      <c r="I70">
        <v>272660.82</v>
      </c>
      <c r="J70">
        <v>12443357.460000001</v>
      </c>
      <c r="K70">
        <v>12712416.84</v>
      </c>
      <c r="L70">
        <v>585313</v>
      </c>
      <c r="M70">
        <v>0</v>
      </c>
      <c r="N70">
        <v>864230.89</v>
      </c>
      <c r="O70">
        <v>13574471.699999999</v>
      </c>
      <c r="P70">
        <v>13013242.950000001</v>
      </c>
      <c r="Q70">
        <v>583614</v>
      </c>
      <c r="R70">
        <v>0</v>
      </c>
      <c r="S70">
        <v>1703031.8</v>
      </c>
      <c r="T70">
        <v>13663829.630000001</v>
      </c>
      <c r="U70">
        <v>12860902.409999998</v>
      </c>
      <c r="V70">
        <v>523188</v>
      </c>
      <c r="W70">
        <v>0</v>
      </c>
      <c r="X70">
        <v>2339320.27</v>
      </c>
      <c r="Y70">
        <v>13945233.529999999</v>
      </c>
      <c r="Z70">
        <v>13406196.57</v>
      </c>
      <c r="AA70">
        <v>512760</v>
      </c>
      <c r="AB70">
        <v>0</v>
      </c>
      <c r="AC70">
        <v>3217501.52</v>
      </c>
      <c r="AD70">
        <v>14239127.15</v>
      </c>
      <c r="AE70">
        <v>13331422.35</v>
      </c>
      <c r="AF70">
        <v>527312</v>
      </c>
      <c r="AZ70">
        <v>1221</v>
      </c>
      <c r="BA70" t="s">
        <v>602</v>
      </c>
      <c r="BB70">
        <v>17478032.940000001</v>
      </c>
      <c r="BC70">
        <v>19276617.789999999</v>
      </c>
      <c r="BD70">
        <v>614099</v>
      </c>
      <c r="BG70">
        <v>1221</v>
      </c>
      <c r="BH70" t="s">
        <v>602</v>
      </c>
      <c r="BI70">
        <v>0</v>
      </c>
      <c r="BJ70">
        <v>1256694.8700000001</v>
      </c>
    </row>
    <row r="71" spans="1:62" x14ac:dyDescent="0.25">
      <c r="A71">
        <v>1224</v>
      </c>
      <c r="B71" t="s">
        <v>263</v>
      </c>
      <c r="C71">
        <v>0</v>
      </c>
      <c r="D71">
        <v>240718.88</v>
      </c>
      <c r="E71">
        <v>1083537.03</v>
      </c>
      <c r="F71">
        <v>1179173.8800000001</v>
      </c>
      <c r="G71">
        <v>37957</v>
      </c>
      <c r="H71">
        <v>0</v>
      </c>
      <c r="I71">
        <v>39625.64</v>
      </c>
      <c r="J71">
        <v>947432.22</v>
      </c>
      <c r="K71">
        <v>1143383.94</v>
      </c>
      <c r="L71">
        <v>41481</v>
      </c>
      <c r="M71">
        <v>0</v>
      </c>
      <c r="N71">
        <v>-144191.19</v>
      </c>
      <c r="O71">
        <v>1022024.9</v>
      </c>
      <c r="P71">
        <v>1194549.6299999999</v>
      </c>
      <c r="Q71">
        <v>40534</v>
      </c>
      <c r="R71">
        <v>0</v>
      </c>
      <c r="S71">
        <v>-199019.38</v>
      </c>
      <c r="T71">
        <v>1207585.3500000001</v>
      </c>
      <c r="U71">
        <v>1256054.25</v>
      </c>
      <c r="V71">
        <v>36402</v>
      </c>
      <c r="W71">
        <v>0</v>
      </c>
      <c r="X71">
        <v>-264904.18</v>
      </c>
      <c r="Y71">
        <v>1173626.08</v>
      </c>
      <c r="Z71">
        <v>1249050.3399999999</v>
      </c>
      <c r="AA71">
        <v>36479</v>
      </c>
      <c r="AB71">
        <v>0</v>
      </c>
      <c r="AC71">
        <v>-118732.29</v>
      </c>
      <c r="AD71">
        <v>1431432.78</v>
      </c>
      <c r="AE71">
        <v>1259621.5899999999</v>
      </c>
      <c r="AF71">
        <v>37280</v>
      </c>
      <c r="AZ71">
        <v>1233</v>
      </c>
      <c r="BA71" t="s">
        <v>262</v>
      </c>
      <c r="BB71">
        <v>14239127.15</v>
      </c>
      <c r="BC71">
        <v>13331422.35</v>
      </c>
      <c r="BD71">
        <v>512760</v>
      </c>
      <c r="BG71">
        <v>1233</v>
      </c>
      <c r="BH71" t="s">
        <v>262</v>
      </c>
      <c r="BI71">
        <v>0</v>
      </c>
      <c r="BJ71">
        <v>2757876.93</v>
      </c>
    </row>
    <row r="72" spans="1:62" x14ac:dyDescent="0.25">
      <c r="A72">
        <v>1278</v>
      </c>
      <c r="B72" t="s">
        <v>264</v>
      </c>
      <c r="C72">
        <v>0</v>
      </c>
      <c r="D72">
        <v>-1226457.7</v>
      </c>
      <c r="E72">
        <v>40775903.719999999</v>
      </c>
      <c r="F72">
        <v>42008377.840000004</v>
      </c>
      <c r="G72">
        <v>1613528</v>
      </c>
      <c r="H72">
        <v>0</v>
      </c>
      <c r="I72">
        <v>-4004635.27</v>
      </c>
      <c r="J72">
        <v>42696044.939999998</v>
      </c>
      <c r="K72">
        <v>45289215.600000001</v>
      </c>
      <c r="L72">
        <v>1786325</v>
      </c>
      <c r="M72">
        <v>0</v>
      </c>
      <c r="N72">
        <v>-3566579.66</v>
      </c>
      <c r="O72">
        <v>45031611.390000001</v>
      </c>
      <c r="P72">
        <v>44178698.449999996</v>
      </c>
      <c r="Q72">
        <v>1805506</v>
      </c>
      <c r="R72">
        <v>0</v>
      </c>
      <c r="S72">
        <v>-2359028.77</v>
      </c>
      <c r="T72">
        <v>45530709.399999999</v>
      </c>
      <c r="U72">
        <v>44229054.980000004</v>
      </c>
      <c r="V72">
        <v>1625970</v>
      </c>
      <c r="W72">
        <v>0</v>
      </c>
      <c r="X72">
        <v>-866666.56</v>
      </c>
      <c r="Y72">
        <v>45912135.619999997</v>
      </c>
      <c r="Z72">
        <v>44487513.729999989</v>
      </c>
      <c r="AA72">
        <v>1625523</v>
      </c>
      <c r="AB72">
        <v>0</v>
      </c>
      <c r="AC72">
        <v>-702758.62</v>
      </c>
      <c r="AD72">
        <v>43579824.850000001</v>
      </c>
      <c r="AE72">
        <v>43829465.269999988</v>
      </c>
      <c r="AF72">
        <v>1672859</v>
      </c>
      <c r="AZ72">
        <v>1278</v>
      </c>
      <c r="BA72" t="s">
        <v>264</v>
      </c>
      <c r="BB72">
        <v>43579824.850000001</v>
      </c>
      <c r="BC72">
        <v>43829465.269999988</v>
      </c>
      <c r="BD72">
        <v>1625523</v>
      </c>
      <c r="BG72">
        <v>1278</v>
      </c>
      <c r="BH72" t="s">
        <v>264</v>
      </c>
      <c r="BI72">
        <v>0</v>
      </c>
      <c r="BJ72">
        <v>1318354.1299999999</v>
      </c>
    </row>
    <row r="73" spans="1:62" x14ac:dyDescent="0.25">
      <c r="A73">
        <v>1332</v>
      </c>
      <c r="B73" t="s">
        <v>265</v>
      </c>
      <c r="C73">
        <v>0</v>
      </c>
      <c r="D73">
        <v>618814.96</v>
      </c>
      <c r="E73">
        <v>7887667.6399999997</v>
      </c>
      <c r="F73">
        <v>7484326.6199999992</v>
      </c>
      <c r="G73">
        <v>296982</v>
      </c>
      <c r="H73">
        <v>0</v>
      </c>
      <c r="I73">
        <v>458801.38</v>
      </c>
      <c r="J73">
        <v>7331901.3200000003</v>
      </c>
      <c r="K73">
        <v>7359791.6100000003</v>
      </c>
      <c r="L73">
        <v>321489</v>
      </c>
      <c r="M73">
        <v>0</v>
      </c>
      <c r="N73">
        <v>819620.88</v>
      </c>
      <c r="O73">
        <v>7860878.4299999997</v>
      </c>
      <c r="P73">
        <v>7412153.7699999986</v>
      </c>
      <c r="Q73">
        <v>320669</v>
      </c>
      <c r="R73">
        <v>0</v>
      </c>
      <c r="S73">
        <v>1175156.83</v>
      </c>
      <c r="T73">
        <v>7744605.0599999996</v>
      </c>
      <c r="U73">
        <v>7344960.7299999995</v>
      </c>
      <c r="V73">
        <v>285334</v>
      </c>
      <c r="W73">
        <v>0</v>
      </c>
      <c r="X73">
        <v>1277062.42</v>
      </c>
      <c r="Y73">
        <v>7531133</v>
      </c>
      <c r="Z73">
        <v>7401242.0099999998</v>
      </c>
      <c r="AA73">
        <v>284348</v>
      </c>
      <c r="AB73">
        <v>0</v>
      </c>
      <c r="AC73">
        <v>1020605.63</v>
      </c>
      <c r="AD73">
        <v>7275721.1699999999</v>
      </c>
      <c r="AE73">
        <v>7505564.0999999996</v>
      </c>
      <c r="AF73">
        <v>290695</v>
      </c>
      <c r="AZ73">
        <v>1332</v>
      </c>
      <c r="BA73" t="s">
        <v>265</v>
      </c>
      <c r="BB73">
        <v>7275721.1699999999</v>
      </c>
      <c r="BC73">
        <v>7505564.0999999996</v>
      </c>
      <c r="BD73">
        <v>284348</v>
      </c>
      <c r="BG73">
        <v>1332</v>
      </c>
      <c r="BH73" t="s">
        <v>265</v>
      </c>
      <c r="BI73">
        <v>0</v>
      </c>
      <c r="BJ73">
        <v>244440.12</v>
      </c>
    </row>
    <row r="74" spans="1:62" x14ac:dyDescent="0.25">
      <c r="A74">
        <v>1337</v>
      </c>
      <c r="B74" t="s">
        <v>266</v>
      </c>
      <c r="C74">
        <v>0</v>
      </c>
      <c r="D74">
        <v>4994517.9800000004</v>
      </c>
      <c r="E74">
        <v>38460023.170000002</v>
      </c>
      <c r="F74">
        <v>37516621.859999999</v>
      </c>
      <c r="G74">
        <v>1397624</v>
      </c>
      <c r="H74">
        <v>0</v>
      </c>
      <c r="I74">
        <v>3653664.3</v>
      </c>
      <c r="J74">
        <v>41064300.850000001</v>
      </c>
      <c r="K74">
        <v>42185887.119999997</v>
      </c>
      <c r="L74">
        <v>1638722</v>
      </c>
      <c r="M74">
        <v>0</v>
      </c>
      <c r="N74">
        <v>6835348.0499999998</v>
      </c>
      <c r="O74">
        <v>46940795.899999999</v>
      </c>
      <c r="P74">
        <v>43648153.190000005</v>
      </c>
      <c r="Q74">
        <v>1719630</v>
      </c>
      <c r="R74">
        <v>100921.39</v>
      </c>
      <c r="S74">
        <v>9647534.8399999999</v>
      </c>
      <c r="T74">
        <v>47959027.200000003</v>
      </c>
      <c r="U74">
        <v>45104815.119999997</v>
      </c>
      <c r="V74">
        <v>1660568</v>
      </c>
      <c r="W74">
        <v>92341.81</v>
      </c>
      <c r="X74">
        <v>9980960.5199999996</v>
      </c>
      <c r="Y74">
        <v>47598106.289999999</v>
      </c>
      <c r="Z74">
        <v>47491843.959999993</v>
      </c>
      <c r="AA74">
        <v>1744232</v>
      </c>
      <c r="AB74">
        <v>106909.28</v>
      </c>
      <c r="AC74">
        <v>6237221.3499999996</v>
      </c>
      <c r="AD74">
        <v>47699177.200000003</v>
      </c>
      <c r="AE74">
        <v>51522445.619999997</v>
      </c>
      <c r="AF74">
        <v>1837962</v>
      </c>
      <c r="AZ74">
        <v>1337</v>
      </c>
      <c r="BA74" t="s">
        <v>266</v>
      </c>
      <c r="BB74">
        <v>47699177.200000003</v>
      </c>
      <c r="BC74">
        <v>51522445.619999997</v>
      </c>
      <c r="BD74">
        <v>1744232</v>
      </c>
      <c r="BG74">
        <v>1337</v>
      </c>
      <c r="BH74" t="s">
        <v>266</v>
      </c>
      <c r="BI74">
        <v>137426.62</v>
      </c>
      <c r="BJ74">
        <v>1229539.05</v>
      </c>
    </row>
    <row r="75" spans="1:62" x14ac:dyDescent="0.25">
      <c r="A75">
        <v>1350</v>
      </c>
      <c r="B75" t="s">
        <v>267</v>
      </c>
      <c r="C75">
        <v>0</v>
      </c>
      <c r="D75">
        <v>1663441.72</v>
      </c>
      <c r="E75">
        <v>4513106.0199999996</v>
      </c>
      <c r="F75">
        <v>4459925.080000001</v>
      </c>
      <c r="G75">
        <v>182969</v>
      </c>
      <c r="H75">
        <v>0</v>
      </c>
      <c r="I75">
        <v>1312347.75</v>
      </c>
      <c r="J75">
        <v>4235423.45</v>
      </c>
      <c r="K75">
        <v>4590804.9399999995</v>
      </c>
      <c r="L75">
        <v>198258</v>
      </c>
      <c r="M75">
        <v>0</v>
      </c>
      <c r="N75">
        <v>1298032.46</v>
      </c>
      <c r="O75">
        <v>4689682.84</v>
      </c>
      <c r="P75">
        <v>4653187.01</v>
      </c>
      <c r="Q75">
        <v>200245</v>
      </c>
      <c r="R75">
        <v>0</v>
      </c>
      <c r="S75">
        <v>1246076.42</v>
      </c>
      <c r="T75">
        <v>4780375.2300000004</v>
      </c>
      <c r="U75">
        <v>4798749.3600000013</v>
      </c>
      <c r="V75">
        <v>180069</v>
      </c>
      <c r="W75">
        <v>0</v>
      </c>
      <c r="X75">
        <v>974359.54</v>
      </c>
      <c r="Y75">
        <v>4781546.8</v>
      </c>
      <c r="Z75">
        <v>4956957.16</v>
      </c>
      <c r="AA75">
        <v>180680</v>
      </c>
      <c r="AB75">
        <v>0</v>
      </c>
      <c r="AC75">
        <v>400708.34</v>
      </c>
      <c r="AD75">
        <v>4706142.91</v>
      </c>
      <c r="AE75">
        <v>5164764.5999999996</v>
      </c>
      <c r="AF75">
        <v>183801</v>
      </c>
      <c r="AZ75">
        <v>1350</v>
      </c>
      <c r="BA75" t="s">
        <v>267</v>
      </c>
      <c r="BB75">
        <v>4706142.91</v>
      </c>
      <c r="BC75">
        <v>5164764.5999999996</v>
      </c>
      <c r="BD75">
        <v>180680</v>
      </c>
      <c r="BG75">
        <v>1350</v>
      </c>
      <c r="BH75" t="s">
        <v>267</v>
      </c>
      <c r="BI75">
        <v>0</v>
      </c>
      <c r="BJ75">
        <v>86378.19</v>
      </c>
    </row>
    <row r="76" spans="1:62" x14ac:dyDescent="0.25">
      <c r="A76">
        <v>1359</v>
      </c>
      <c r="B76" t="s">
        <v>268</v>
      </c>
      <c r="C76">
        <v>0</v>
      </c>
      <c r="D76">
        <v>674105.61</v>
      </c>
      <c r="E76">
        <v>4702759.55</v>
      </c>
      <c r="F76">
        <v>4849758.5900000008</v>
      </c>
      <c r="G76">
        <v>171617</v>
      </c>
      <c r="H76">
        <v>0</v>
      </c>
      <c r="I76">
        <v>-246876.28</v>
      </c>
      <c r="J76">
        <v>4088775.77</v>
      </c>
      <c r="K76">
        <v>4911756.01</v>
      </c>
      <c r="L76">
        <v>179541</v>
      </c>
      <c r="M76">
        <v>0</v>
      </c>
      <c r="N76">
        <v>-710061.56</v>
      </c>
      <c r="O76">
        <v>4851125.3</v>
      </c>
      <c r="P76">
        <v>5157821.1000000006</v>
      </c>
      <c r="Q76">
        <v>185772</v>
      </c>
      <c r="R76">
        <v>0</v>
      </c>
      <c r="S76">
        <v>-767710.7</v>
      </c>
      <c r="T76">
        <v>4902513.92</v>
      </c>
      <c r="U76">
        <v>5066816.5399999991</v>
      </c>
      <c r="V76">
        <v>163066</v>
      </c>
      <c r="W76">
        <v>0</v>
      </c>
      <c r="X76">
        <v>-645555.17000000004</v>
      </c>
      <c r="Y76">
        <v>5008985.5599999996</v>
      </c>
      <c r="Z76">
        <v>5015763.45</v>
      </c>
      <c r="AA76">
        <v>165000</v>
      </c>
      <c r="AB76">
        <v>0</v>
      </c>
      <c r="AC76">
        <v>-440347.16</v>
      </c>
      <c r="AD76">
        <v>5538333.7999999998</v>
      </c>
      <c r="AE76">
        <v>5378332.6400000006</v>
      </c>
      <c r="AF76">
        <v>181561</v>
      </c>
      <c r="AZ76">
        <v>1359</v>
      </c>
      <c r="BA76" t="s">
        <v>268</v>
      </c>
      <c r="BB76">
        <v>5538333.7999999998</v>
      </c>
      <c r="BC76">
        <v>5378332.6400000006</v>
      </c>
      <c r="BD76">
        <v>165000</v>
      </c>
      <c r="BG76">
        <v>1359</v>
      </c>
      <c r="BH76" t="s">
        <v>268</v>
      </c>
      <c r="BI76">
        <v>0</v>
      </c>
      <c r="BJ76">
        <v>358021.3</v>
      </c>
    </row>
    <row r="77" spans="1:62" x14ac:dyDescent="0.25">
      <c r="A77">
        <v>1368</v>
      </c>
      <c r="B77" t="s">
        <v>269</v>
      </c>
      <c r="C77">
        <v>0</v>
      </c>
      <c r="D77">
        <v>797257.04</v>
      </c>
      <c r="E77">
        <v>9977307.1699999999</v>
      </c>
      <c r="F77">
        <v>9799008.0200000014</v>
      </c>
      <c r="G77">
        <v>358572</v>
      </c>
      <c r="H77">
        <v>0</v>
      </c>
      <c r="I77">
        <v>449222.44</v>
      </c>
      <c r="J77">
        <v>9701992.1999999993</v>
      </c>
      <c r="K77">
        <v>9995415.4600000009</v>
      </c>
      <c r="L77">
        <v>387997</v>
      </c>
      <c r="M77">
        <v>0</v>
      </c>
      <c r="N77">
        <v>850463.14</v>
      </c>
      <c r="O77">
        <v>10673604.199999999</v>
      </c>
      <c r="P77">
        <v>10146147.51</v>
      </c>
      <c r="Q77">
        <v>406756</v>
      </c>
      <c r="R77">
        <v>0</v>
      </c>
      <c r="S77">
        <v>956301.58</v>
      </c>
      <c r="T77">
        <v>10525875.710000001</v>
      </c>
      <c r="U77">
        <v>10392465.950000001</v>
      </c>
      <c r="V77">
        <v>364123</v>
      </c>
      <c r="W77">
        <v>0</v>
      </c>
      <c r="X77">
        <v>889992.33</v>
      </c>
      <c r="Y77">
        <v>10029745.09</v>
      </c>
      <c r="Z77">
        <v>10051160.09</v>
      </c>
      <c r="AA77">
        <v>360340</v>
      </c>
      <c r="AB77">
        <v>0</v>
      </c>
      <c r="AC77">
        <v>806445.8</v>
      </c>
      <c r="AD77">
        <v>9775576.6199999992</v>
      </c>
      <c r="AE77">
        <v>9940638.8499999996</v>
      </c>
      <c r="AF77">
        <v>364542</v>
      </c>
      <c r="AZ77">
        <v>1368</v>
      </c>
      <c r="BA77" t="s">
        <v>269</v>
      </c>
      <c r="BB77">
        <v>9775576.6199999992</v>
      </c>
      <c r="BC77">
        <v>9940638.8499999996</v>
      </c>
      <c r="BD77">
        <v>360340</v>
      </c>
      <c r="BG77">
        <v>1368</v>
      </c>
      <c r="BH77" t="s">
        <v>269</v>
      </c>
      <c r="BI77">
        <v>0</v>
      </c>
      <c r="BJ77">
        <v>789595.52</v>
      </c>
    </row>
    <row r="78" spans="1:62" x14ac:dyDescent="0.25">
      <c r="A78">
        <v>1413</v>
      </c>
      <c r="B78" t="s">
        <v>270</v>
      </c>
      <c r="C78">
        <v>0</v>
      </c>
      <c r="D78">
        <v>270944.53999999998</v>
      </c>
      <c r="E78">
        <v>4463604.3600000003</v>
      </c>
      <c r="F78">
        <v>4376920.74</v>
      </c>
      <c r="G78">
        <v>157274</v>
      </c>
      <c r="H78">
        <v>0</v>
      </c>
      <c r="I78">
        <v>118156.71</v>
      </c>
      <c r="J78">
        <v>4427011</v>
      </c>
      <c r="K78">
        <v>4497135.9999999991</v>
      </c>
      <c r="L78">
        <v>168376</v>
      </c>
      <c r="M78">
        <v>0</v>
      </c>
      <c r="N78">
        <v>457727.5</v>
      </c>
      <c r="O78">
        <v>5014493.7699999996</v>
      </c>
      <c r="P78">
        <v>4633841.8599999994</v>
      </c>
      <c r="Q78">
        <v>184560</v>
      </c>
      <c r="R78">
        <v>0</v>
      </c>
      <c r="S78">
        <v>539166.64</v>
      </c>
      <c r="T78">
        <v>4763509.99</v>
      </c>
      <c r="U78">
        <v>4695486.28</v>
      </c>
      <c r="V78">
        <v>162852</v>
      </c>
      <c r="W78">
        <v>0</v>
      </c>
      <c r="X78">
        <v>540996.56000000006</v>
      </c>
      <c r="Y78">
        <v>4472752.67</v>
      </c>
      <c r="Z78">
        <v>4534608.1300000008</v>
      </c>
      <c r="AA78">
        <v>161812</v>
      </c>
      <c r="AB78">
        <v>0</v>
      </c>
      <c r="AC78">
        <v>673672.14</v>
      </c>
      <c r="AD78">
        <v>4592297.08</v>
      </c>
      <c r="AE78">
        <v>4453790.6900000004</v>
      </c>
      <c r="AF78">
        <v>164558</v>
      </c>
      <c r="AZ78">
        <v>1413</v>
      </c>
      <c r="BA78" t="s">
        <v>270</v>
      </c>
      <c r="BB78">
        <v>4592297.08</v>
      </c>
      <c r="BC78">
        <v>4453790.6900000004</v>
      </c>
      <c r="BD78">
        <v>161812</v>
      </c>
      <c r="BG78">
        <v>1413</v>
      </c>
      <c r="BH78" t="s">
        <v>270</v>
      </c>
      <c r="BI78">
        <v>0</v>
      </c>
      <c r="BJ78">
        <v>1121560.42</v>
      </c>
    </row>
    <row r="79" spans="1:62" x14ac:dyDescent="0.25">
      <c r="A79">
        <v>1431</v>
      </c>
      <c r="B79" t="s">
        <v>271</v>
      </c>
      <c r="C79">
        <v>300000</v>
      </c>
      <c r="D79">
        <v>1056063.32</v>
      </c>
      <c r="E79">
        <v>5110216.4000000004</v>
      </c>
      <c r="F79">
        <v>5634823.8900000006</v>
      </c>
      <c r="G79">
        <v>190542</v>
      </c>
      <c r="H79">
        <v>300000</v>
      </c>
      <c r="I79">
        <v>1120376.3700000001</v>
      </c>
      <c r="J79">
        <v>5241205.2699999996</v>
      </c>
      <c r="K79">
        <v>5125967.66</v>
      </c>
      <c r="L79">
        <v>204436</v>
      </c>
      <c r="M79">
        <v>0</v>
      </c>
      <c r="N79">
        <v>-43263.24</v>
      </c>
      <c r="O79">
        <v>5178163.13</v>
      </c>
      <c r="P79">
        <v>5031449.3899999997</v>
      </c>
      <c r="Q79">
        <v>205554</v>
      </c>
      <c r="R79">
        <v>0</v>
      </c>
      <c r="S79">
        <v>935291.08</v>
      </c>
      <c r="T79">
        <v>5092014.53</v>
      </c>
      <c r="U79">
        <v>5318503.5199999996</v>
      </c>
      <c r="V79">
        <v>177596</v>
      </c>
      <c r="W79">
        <v>0</v>
      </c>
      <c r="X79">
        <v>795238.92</v>
      </c>
      <c r="Y79">
        <v>4978533.54</v>
      </c>
      <c r="Z79">
        <v>5415813.8600000013</v>
      </c>
      <c r="AA79">
        <v>175744</v>
      </c>
      <c r="AB79">
        <v>113354.22</v>
      </c>
      <c r="AC79">
        <v>56718.879999999997</v>
      </c>
      <c r="AD79">
        <v>5546601.5599999996</v>
      </c>
      <c r="AE79">
        <v>6168428.2599999998</v>
      </c>
      <c r="AF79">
        <v>181682</v>
      </c>
      <c r="AZ79">
        <v>1431</v>
      </c>
      <c r="BA79" t="s">
        <v>271</v>
      </c>
      <c r="BB79">
        <v>5546601.5599999996</v>
      </c>
      <c r="BC79">
        <v>6168428.2599999998</v>
      </c>
      <c r="BD79">
        <v>175744</v>
      </c>
      <c r="BG79">
        <v>1431</v>
      </c>
      <c r="BH79" t="s">
        <v>271</v>
      </c>
      <c r="BI79">
        <v>0</v>
      </c>
      <c r="BJ79">
        <v>4026.83</v>
      </c>
    </row>
    <row r="80" spans="1:62" x14ac:dyDescent="0.25">
      <c r="A80">
        <v>1449</v>
      </c>
      <c r="B80" t="s">
        <v>272</v>
      </c>
      <c r="C80">
        <v>0</v>
      </c>
      <c r="D80">
        <v>-143738.78</v>
      </c>
      <c r="E80">
        <v>2308419.6</v>
      </c>
      <c r="F80">
        <v>2223943.3799999994</v>
      </c>
      <c r="G80">
        <v>73841</v>
      </c>
      <c r="H80">
        <v>0</v>
      </c>
      <c r="I80">
        <v>-682.07</v>
      </c>
      <c r="J80">
        <v>2246457.44</v>
      </c>
      <c r="K80">
        <v>2038410.79</v>
      </c>
      <c r="L80">
        <v>79065</v>
      </c>
      <c r="M80">
        <v>0</v>
      </c>
      <c r="N80">
        <v>510491.21</v>
      </c>
      <c r="O80">
        <v>2365121.13</v>
      </c>
      <c r="P80">
        <v>1871387.35</v>
      </c>
      <c r="Q80">
        <v>78546</v>
      </c>
      <c r="R80">
        <v>0</v>
      </c>
      <c r="S80">
        <v>661821.81000000006</v>
      </c>
      <c r="T80">
        <v>1987690.18</v>
      </c>
      <c r="U80">
        <v>1825872.2700000003</v>
      </c>
      <c r="V80">
        <v>68717</v>
      </c>
      <c r="W80">
        <v>0</v>
      </c>
      <c r="X80">
        <v>408113.41</v>
      </c>
      <c r="Y80">
        <v>1660212.57</v>
      </c>
      <c r="Z80">
        <v>1887306.95</v>
      </c>
      <c r="AA80">
        <v>66073</v>
      </c>
      <c r="AB80">
        <v>0</v>
      </c>
      <c r="AC80">
        <v>363483.82</v>
      </c>
      <c r="AD80">
        <v>1488284.17</v>
      </c>
      <c r="AE80">
        <v>1542395.9600000002</v>
      </c>
      <c r="AF80">
        <v>68622</v>
      </c>
      <c r="AZ80">
        <v>1476</v>
      </c>
      <c r="BA80" t="s">
        <v>273</v>
      </c>
      <c r="BB80">
        <v>103172825.22</v>
      </c>
      <c r="BC80">
        <v>101129279.83</v>
      </c>
      <c r="BD80">
        <v>3554916</v>
      </c>
      <c r="BG80">
        <v>1476</v>
      </c>
      <c r="BH80" t="s">
        <v>273</v>
      </c>
      <c r="BI80">
        <v>93231.78</v>
      </c>
      <c r="BJ80">
        <v>7742507.5099999998</v>
      </c>
    </row>
    <row r="81" spans="1:62" x14ac:dyDescent="0.25">
      <c r="A81">
        <v>1476</v>
      </c>
      <c r="B81" t="s">
        <v>273</v>
      </c>
      <c r="C81">
        <v>0</v>
      </c>
      <c r="D81">
        <v>7483308.6299999999</v>
      </c>
      <c r="E81">
        <v>87867080.859999999</v>
      </c>
      <c r="F81">
        <v>91396346.030000001</v>
      </c>
      <c r="G81">
        <v>3394994</v>
      </c>
      <c r="H81">
        <v>0</v>
      </c>
      <c r="I81">
        <v>1415976.52</v>
      </c>
      <c r="J81">
        <v>89554796.430000007</v>
      </c>
      <c r="K81">
        <v>95003377.99000001</v>
      </c>
      <c r="L81">
        <v>3769834</v>
      </c>
      <c r="M81">
        <v>0</v>
      </c>
      <c r="N81">
        <v>5110245.01</v>
      </c>
      <c r="O81">
        <v>98843530.680000007</v>
      </c>
      <c r="P81">
        <v>94764399.88000001</v>
      </c>
      <c r="Q81">
        <v>3936375</v>
      </c>
      <c r="R81">
        <v>0</v>
      </c>
      <c r="S81">
        <v>11873283.630000001</v>
      </c>
      <c r="T81">
        <v>101165798.87</v>
      </c>
      <c r="U81">
        <v>94385698.440000013</v>
      </c>
      <c r="V81">
        <v>3542694</v>
      </c>
      <c r="W81">
        <v>0</v>
      </c>
      <c r="X81">
        <v>8022278.0700000003</v>
      </c>
      <c r="Y81">
        <v>98288633.420000002</v>
      </c>
      <c r="Z81">
        <v>99335568.229999989</v>
      </c>
      <c r="AA81">
        <v>3554916</v>
      </c>
      <c r="AB81">
        <v>0</v>
      </c>
      <c r="AC81">
        <v>12069516.35</v>
      </c>
      <c r="AD81">
        <v>103172825.22</v>
      </c>
      <c r="AE81">
        <v>101129279.83</v>
      </c>
      <c r="AF81">
        <v>3695117</v>
      </c>
      <c r="AZ81">
        <v>1503</v>
      </c>
      <c r="BA81" t="s">
        <v>274</v>
      </c>
      <c r="BB81">
        <v>14912722.65</v>
      </c>
      <c r="BC81">
        <v>15467371.299999999</v>
      </c>
      <c r="BD81">
        <v>537951</v>
      </c>
      <c r="BG81">
        <v>1503</v>
      </c>
      <c r="BH81" t="s">
        <v>274</v>
      </c>
      <c r="BI81">
        <v>0</v>
      </c>
      <c r="BJ81">
        <v>-236243.99</v>
      </c>
    </row>
    <row r="82" spans="1:62" x14ac:dyDescent="0.25">
      <c r="A82">
        <v>1503</v>
      </c>
      <c r="B82" t="s">
        <v>274</v>
      </c>
      <c r="C82">
        <v>99031</v>
      </c>
      <c r="D82">
        <v>1251104.18</v>
      </c>
      <c r="E82">
        <v>13615828.460000001</v>
      </c>
      <c r="F82">
        <v>13539320.33</v>
      </c>
      <c r="G82">
        <v>508699</v>
      </c>
      <c r="H82">
        <v>99031</v>
      </c>
      <c r="I82">
        <v>1142190.97</v>
      </c>
      <c r="J82">
        <v>13482932.640000001</v>
      </c>
      <c r="K82">
        <v>13460681.610000001</v>
      </c>
      <c r="L82">
        <v>562973</v>
      </c>
      <c r="M82">
        <v>0</v>
      </c>
      <c r="N82">
        <v>1733488.82</v>
      </c>
      <c r="O82">
        <v>14369999.24</v>
      </c>
      <c r="P82">
        <v>13738763.429999998</v>
      </c>
      <c r="Q82">
        <v>566249</v>
      </c>
      <c r="R82">
        <v>0</v>
      </c>
      <c r="S82">
        <v>2101795.14</v>
      </c>
      <c r="T82">
        <v>14682513.970000001</v>
      </c>
      <c r="U82">
        <v>14323442.609999999</v>
      </c>
      <c r="V82">
        <v>504339</v>
      </c>
      <c r="W82">
        <v>0</v>
      </c>
      <c r="X82">
        <v>920303.15</v>
      </c>
      <c r="Y82">
        <v>14458837.82</v>
      </c>
      <c r="Z82">
        <v>15721117.620000001</v>
      </c>
      <c r="AA82">
        <v>537951</v>
      </c>
      <c r="AB82">
        <v>0</v>
      </c>
      <c r="AC82">
        <v>98848.26</v>
      </c>
      <c r="AD82">
        <v>14912722.65</v>
      </c>
      <c r="AE82">
        <v>15467371.299999999</v>
      </c>
      <c r="AF82">
        <v>568833</v>
      </c>
      <c r="AZ82">
        <v>1576</v>
      </c>
      <c r="BA82" t="s">
        <v>275</v>
      </c>
      <c r="BB82">
        <v>21965593.379999999</v>
      </c>
      <c r="BC82">
        <v>22237519.73</v>
      </c>
      <c r="BD82">
        <v>729350</v>
      </c>
      <c r="BG82">
        <v>1576</v>
      </c>
      <c r="BH82" t="s">
        <v>275</v>
      </c>
      <c r="BI82">
        <v>0</v>
      </c>
      <c r="BJ82">
        <v>3934326.19</v>
      </c>
    </row>
    <row r="83" spans="1:62" x14ac:dyDescent="0.25">
      <c r="A83">
        <v>1576</v>
      </c>
      <c r="B83" t="s">
        <v>275</v>
      </c>
      <c r="C83">
        <v>0</v>
      </c>
      <c r="D83">
        <v>2378578.7200000002</v>
      </c>
      <c r="E83">
        <v>15994292.199999999</v>
      </c>
      <c r="F83">
        <v>15767699.549999999</v>
      </c>
      <c r="G83">
        <v>602958</v>
      </c>
      <c r="H83">
        <v>500000</v>
      </c>
      <c r="I83">
        <v>2519060.2599999998</v>
      </c>
      <c r="J83">
        <v>17105113.48</v>
      </c>
      <c r="K83">
        <v>16374689.91</v>
      </c>
      <c r="L83">
        <v>689348</v>
      </c>
      <c r="M83">
        <v>0</v>
      </c>
      <c r="N83">
        <v>3616736.42</v>
      </c>
      <c r="O83">
        <v>18987817.140000001</v>
      </c>
      <c r="P83">
        <v>17346540.689999998</v>
      </c>
      <c r="Q83">
        <v>731714</v>
      </c>
      <c r="R83">
        <v>0</v>
      </c>
      <c r="S83">
        <v>4642941.45</v>
      </c>
      <c r="T83">
        <v>19430634.870000001</v>
      </c>
      <c r="U83">
        <v>18488218.550000001</v>
      </c>
      <c r="V83">
        <v>700651</v>
      </c>
      <c r="W83">
        <v>0</v>
      </c>
      <c r="X83">
        <v>5043415.25</v>
      </c>
      <c r="Y83">
        <v>19709647.91</v>
      </c>
      <c r="Z83">
        <v>20264222.609999996</v>
      </c>
      <c r="AA83">
        <v>729350</v>
      </c>
      <c r="AB83">
        <v>0</v>
      </c>
      <c r="AC83">
        <v>4827092.07</v>
      </c>
      <c r="AD83">
        <v>21965593.379999999</v>
      </c>
      <c r="AE83">
        <v>22237519.73</v>
      </c>
      <c r="AF83">
        <v>823740</v>
      </c>
      <c r="AZ83">
        <v>1602</v>
      </c>
      <c r="BA83" t="s">
        <v>276</v>
      </c>
      <c r="BB83">
        <v>6241880.5499999998</v>
      </c>
      <c r="BC83">
        <v>5885266.9500000011</v>
      </c>
      <c r="BD83">
        <v>176922</v>
      </c>
      <c r="BG83">
        <v>1602</v>
      </c>
      <c r="BH83" t="s">
        <v>276</v>
      </c>
      <c r="BI83">
        <v>0</v>
      </c>
      <c r="BJ83">
        <v>1332229.7</v>
      </c>
    </row>
    <row r="84" spans="1:62" x14ac:dyDescent="0.25">
      <c r="A84">
        <v>1602</v>
      </c>
      <c r="B84" t="s">
        <v>276</v>
      </c>
      <c r="C84">
        <v>0</v>
      </c>
      <c r="D84">
        <v>-404451.07</v>
      </c>
      <c r="E84">
        <v>5353055.32</v>
      </c>
      <c r="F84">
        <v>5044278.8400000008</v>
      </c>
      <c r="G84">
        <v>166971</v>
      </c>
      <c r="H84">
        <v>0</v>
      </c>
      <c r="I84">
        <v>-278846.21999999997</v>
      </c>
      <c r="J84">
        <v>5183910.0199999996</v>
      </c>
      <c r="K84">
        <v>4933321.34</v>
      </c>
      <c r="L84">
        <v>187870</v>
      </c>
      <c r="M84">
        <v>0</v>
      </c>
      <c r="N84">
        <v>106269.32</v>
      </c>
      <c r="O84">
        <v>5546790.3700000001</v>
      </c>
      <c r="P84">
        <v>5129970.3100000005</v>
      </c>
      <c r="Q84">
        <v>192325</v>
      </c>
      <c r="R84">
        <v>0</v>
      </c>
      <c r="S84">
        <v>401561.52</v>
      </c>
      <c r="T84">
        <v>5779492.4000000004</v>
      </c>
      <c r="U84">
        <v>5459420.1299999999</v>
      </c>
      <c r="V84">
        <v>175344</v>
      </c>
      <c r="W84">
        <v>0</v>
      </c>
      <c r="X84">
        <v>624209.01</v>
      </c>
      <c r="Y84">
        <v>5834251.7199999997</v>
      </c>
      <c r="Z84">
        <v>5599347.4699999997</v>
      </c>
      <c r="AA84">
        <v>176922</v>
      </c>
      <c r="AB84">
        <v>0</v>
      </c>
      <c r="AC84">
        <v>1052327.23</v>
      </c>
      <c r="AD84">
        <v>6241880.5499999998</v>
      </c>
      <c r="AE84">
        <v>5885266.9500000011</v>
      </c>
      <c r="AF84">
        <v>186967</v>
      </c>
      <c r="AZ84">
        <v>1611</v>
      </c>
      <c r="BA84" t="s">
        <v>277</v>
      </c>
      <c r="BB84">
        <v>173526086.86000001</v>
      </c>
      <c r="BC84">
        <v>170417771.75</v>
      </c>
      <c r="BD84">
        <v>6218691</v>
      </c>
      <c r="BG84">
        <v>1611</v>
      </c>
      <c r="BH84" t="s">
        <v>277</v>
      </c>
      <c r="BI84">
        <v>0</v>
      </c>
      <c r="BJ84">
        <v>25248461.699999999</v>
      </c>
    </row>
    <row r="85" spans="1:62" x14ac:dyDescent="0.25">
      <c r="A85">
        <v>1611</v>
      </c>
      <c r="B85" t="s">
        <v>277</v>
      </c>
      <c r="C85">
        <v>0</v>
      </c>
      <c r="D85">
        <v>11135416.390000001</v>
      </c>
      <c r="E85">
        <v>158844930.5</v>
      </c>
      <c r="F85">
        <v>155762200.65000001</v>
      </c>
      <c r="G85">
        <v>5852203</v>
      </c>
      <c r="H85">
        <v>0</v>
      </c>
      <c r="I85">
        <v>6756847.2000000002</v>
      </c>
      <c r="J85">
        <v>157299365.88</v>
      </c>
      <c r="K85">
        <v>160491344.21999997</v>
      </c>
      <c r="L85">
        <v>6505439</v>
      </c>
      <c r="M85">
        <v>0</v>
      </c>
      <c r="N85">
        <v>5578854.1900000004</v>
      </c>
      <c r="O85">
        <v>171306670.16</v>
      </c>
      <c r="P85">
        <v>171383785.66</v>
      </c>
      <c r="Q85">
        <v>6637326</v>
      </c>
      <c r="R85">
        <v>0</v>
      </c>
      <c r="S85">
        <v>11683583.41</v>
      </c>
      <c r="T85">
        <v>174807433.44</v>
      </c>
      <c r="U85">
        <v>169399138.66999999</v>
      </c>
      <c r="V85">
        <v>6113725</v>
      </c>
      <c r="W85">
        <v>0</v>
      </c>
      <c r="X85">
        <v>21000468.23</v>
      </c>
      <c r="Y85">
        <v>173866311.22999999</v>
      </c>
      <c r="Z85">
        <v>165004324.25</v>
      </c>
      <c r="AA85">
        <v>6218691</v>
      </c>
      <c r="AB85">
        <v>0</v>
      </c>
      <c r="AC85">
        <v>24627524.489999998</v>
      </c>
      <c r="AD85">
        <v>173526086.86000001</v>
      </c>
      <c r="AE85">
        <v>170417771.75</v>
      </c>
      <c r="AF85">
        <v>6461319</v>
      </c>
      <c r="AZ85">
        <v>1619</v>
      </c>
      <c r="BA85" t="s">
        <v>278</v>
      </c>
      <c r="BB85">
        <v>12626880.5</v>
      </c>
      <c r="BC85">
        <v>12060291.5</v>
      </c>
      <c r="BD85">
        <v>430125</v>
      </c>
      <c r="BG85">
        <v>1619</v>
      </c>
      <c r="BH85" t="s">
        <v>278</v>
      </c>
      <c r="BI85">
        <v>0</v>
      </c>
      <c r="BJ85">
        <v>1884163.83</v>
      </c>
    </row>
    <row r="86" spans="1:62" x14ac:dyDescent="0.25">
      <c r="A86">
        <v>1619</v>
      </c>
      <c r="B86" t="s">
        <v>278</v>
      </c>
      <c r="C86">
        <v>0</v>
      </c>
      <c r="D86">
        <v>840058.78</v>
      </c>
      <c r="E86">
        <v>10615675.220000001</v>
      </c>
      <c r="F86">
        <v>10782518.049999999</v>
      </c>
      <c r="G86">
        <v>422045</v>
      </c>
      <c r="H86">
        <v>0</v>
      </c>
      <c r="I86">
        <v>466034.49</v>
      </c>
      <c r="J86">
        <v>10924364.09</v>
      </c>
      <c r="K86">
        <v>11259975.109999999</v>
      </c>
      <c r="L86">
        <v>456463</v>
      </c>
      <c r="M86">
        <v>0</v>
      </c>
      <c r="N86">
        <v>528607.39</v>
      </c>
      <c r="O86">
        <v>11171610.66</v>
      </c>
      <c r="P86">
        <v>10988755.100000001</v>
      </c>
      <c r="Q86">
        <v>460092</v>
      </c>
      <c r="R86">
        <v>0</v>
      </c>
      <c r="S86">
        <v>522470.72</v>
      </c>
      <c r="T86">
        <v>11524027</v>
      </c>
      <c r="U86">
        <v>11497355.840000002</v>
      </c>
      <c r="V86">
        <v>417367</v>
      </c>
      <c r="W86">
        <v>0</v>
      </c>
      <c r="X86">
        <v>911064.16</v>
      </c>
      <c r="Y86">
        <v>11775344.4</v>
      </c>
      <c r="Z86">
        <v>11599075.149999999</v>
      </c>
      <c r="AA86">
        <v>430125</v>
      </c>
      <c r="AB86">
        <v>0</v>
      </c>
      <c r="AC86">
        <v>1480637</v>
      </c>
      <c r="AD86">
        <v>12626880.5</v>
      </c>
      <c r="AE86">
        <v>12060291.5</v>
      </c>
      <c r="AF86">
        <v>450754</v>
      </c>
      <c r="AZ86">
        <v>1638</v>
      </c>
      <c r="BA86" t="s">
        <v>279</v>
      </c>
      <c r="BB86">
        <v>17622706.899999999</v>
      </c>
      <c r="BC86">
        <v>18002615.07</v>
      </c>
      <c r="BD86">
        <v>547753</v>
      </c>
      <c r="BG86">
        <v>1638</v>
      </c>
      <c r="BH86" t="s">
        <v>279</v>
      </c>
      <c r="BI86">
        <v>0</v>
      </c>
      <c r="BJ86">
        <v>2190668.85</v>
      </c>
    </row>
    <row r="87" spans="1:62" x14ac:dyDescent="0.25">
      <c r="A87">
        <v>1638</v>
      </c>
      <c r="B87" t="s">
        <v>279</v>
      </c>
      <c r="C87">
        <v>0</v>
      </c>
      <c r="D87">
        <v>430536.56</v>
      </c>
      <c r="E87">
        <v>15345563.6</v>
      </c>
      <c r="F87">
        <v>15481745.92</v>
      </c>
      <c r="G87">
        <v>530159</v>
      </c>
      <c r="H87">
        <v>0</v>
      </c>
      <c r="I87">
        <v>678107.8</v>
      </c>
      <c r="J87">
        <v>15530141.17</v>
      </c>
      <c r="K87">
        <v>15202632.760000002</v>
      </c>
      <c r="L87">
        <v>591775</v>
      </c>
      <c r="M87">
        <v>0</v>
      </c>
      <c r="N87">
        <v>1672185.26</v>
      </c>
      <c r="O87">
        <v>16671081.41</v>
      </c>
      <c r="P87">
        <v>15554165.410000002</v>
      </c>
      <c r="Q87">
        <v>596148</v>
      </c>
      <c r="R87">
        <v>0</v>
      </c>
      <c r="S87">
        <v>2533074.31</v>
      </c>
      <c r="T87">
        <v>17460112.140000001</v>
      </c>
      <c r="U87">
        <v>16520231.449999999</v>
      </c>
      <c r="V87">
        <v>548284</v>
      </c>
      <c r="W87">
        <v>0</v>
      </c>
      <c r="X87">
        <v>2964815.39</v>
      </c>
      <c r="Y87">
        <v>17071265.079999998</v>
      </c>
      <c r="Z87">
        <v>16673551.189999999</v>
      </c>
      <c r="AA87">
        <v>547753</v>
      </c>
      <c r="AB87">
        <v>0</v>
      </c>
      <c r="AC87">
        <v>2672899.94</v>
      </c>
      <c r="AD87">
        <v>17622706.899999999</v>
      </c>
      <c r="AE87">
        <v>18002615.07</v>
      </c>
      <c r="AF87">
        <v>573136</v>
      </c>
      <c r="AZ87">
        <v>1675</v>
      </c>
      <c r="BA87" t="s">
        <v>280</v>
      </c>
      <c r="BB87">
        <v>2440937.5</v>
      </c>
      <c r="BC87">
        <v>2485068</v>
      </c>
      <c r="BD87">
        <v>88155</v>
      </c>
      <c r="BG87">
        <v>1675</v>
      </c>
      <c r="BH87" t="s">
        <v>280</v>
      </c>
      <c r="BI87">
        <v>0</v>
      </c>
      <c r="BJ87">
        <v>1014328.47</v>
      </c>
    </row>
    <row r="88" spans="1:62" x14ac:dyDescent="0.25">
      <c r="A88">
        <v>1675</v>
      </c>
      <c r="B88" t="s">
        <v>280</v>
      </c>
      <c r="C88">
        <v>0</v>
      </c>
      <c r="D88">
        <v>563957.55000000005</v>
      </c>
      <c r="E88">
        <v>2268804.27</v>
      </c>
      <c r="F88">
        <v>2459000.39</v>
      </c>
      <c r="G88">
        <v>89534</v>
      </c>
      <c r="H88">
        <v>0</v>
      </c>
      <c r="I88">
        <v>565008.75</v>
      </c>
      <c r="J88">
        <v>2432479.56</v>
      </c>
      <c r="K88">
        <v>2417711.0800000005</v>
      </c>
      <c r="L88">
        <v>95940</v>
      </c>
      <c r="M88">
        <v>0</v>
      </c>
      <c r="N88">
        <v>802645.65</v>
      </c>
      <c r="O88">
        <v>2738729.97</v>
      </c>
      <c r="P88">
        <v>2477153.14</v>
      </c>
      <c r="Q88">
        <v>100895</v>
      </c>
      <c r="R88">
        <v>0</v>
      </c>
      <c r="S88">
        <v>823103.06</v>
      </c>
      <c r="T88">
        <v>2498236.79</v>
      </c>
      <c r="U88">
        <v>2467555.9299999997</v>
      </c>
      <c r="V88">
        <v>89562</v>
      </c>
      <c r="W88">
        <v>0</v>
      </c>
      <c r="X88">
        <v>992528.98</v>
      </c>
      <c r="Y88">
        <v>2517858.7599999998</v>
      </c>
      <c r="Z88">
        <v>2341324.6900000004</v>
      </c>
      <c r="AA88">
        <v>88155</v>
      </c>
      <c r="AB88">
        <v>0</v>
      </c>
      <c r="AC88">
        <v>950194.88</v>
      </c>
      <c r="AD88">
        <v>2440937.5</v>
      </c>
      <c r="AE88">
        <v>2485068</v>
      </c>
      <c r="AF88">
        <v>89637</v>
      </c>
      <c r="AZ88">
        <v>1701</v>
      </c>
      <c r="BA88" t="s">
        <v>281</v>
      </c>
      <c r="BB88">
        <v>22154668.370000001</v>
      </c>
      <c r="BC88">
        <v>21279192.109999999</v>
      </c>
      <c r="BD88">
        <v>821886</v>
      </c>
      <c r="BG88">
        <v>1701</v>
      </c>
      <c r="BH88" t="s">
        <v>281</v>
      </c>
      <c r="BI88">
        <v>0</v>
      </c>
      <c r="BJ88">
        <v>3102335.65</v>
      </c>
    </row>
    <row r="89" spans="1:62" x14ac:dyDescent="0.25">
      <c r="A89">
        <v>1701</v>
      </c>
      <c r="B89" t="s">
        <v>281</v>
      </c>
      <c r="C89">
        <v>0</v>
      </c>
      <c r="D89">
        <v>1389909.58</v>
      </c>
      <c r="E89">
        <v>17344840.989999998</v>
      </c>
      <c r="F89">
        <v>17254407.449999999</v>
      </c>
      <c r="G89">
        <v>673787</v>
      </c>
      <c r="H89">
        <v>0</v>
      </c>
      <c r="I89">
        <v>1238201.71</v>
      </c>
      <c r="J89">
        <v>17730765.640000001</v>
      </c>
      <c r="K89">
        <v>17641441.809999999</v>
      </c>
      <c r="L89">
        <v>780684</v>
      </c>
      <c r="M89">
        <v>0</v>
      </c>
      <c r="N89">
        <v>2415618.04</v>
      </c>
      <c r="O89">
        <v>19757682.129999999</v>
      </c>
      <c r="P89">
        <v>18675619.579999998</v>
      </c>
      <c r="Q89">
        <v>813046</v>
      </c>
      <c r="R89">
        <v>0</v>
      </c>
      <c r="S89">
        <v>2649792.3199999998</v>
      </c>
      <c r="T89">
        <v>19731849.289999999</v>
      </c>
      <c r="U89">
        <v>19560058.859999999</v>
      </c>
      <c r="V89">
        <v>789480</v>
      </c>
      <c r="W89">
        <v>0</v>
      </c>
      <c r="X89">
        <v>1630605.77</v>
      </c>
      <c r="Y89">
        <v>20802278.390000001</v>
      </c>
      <c r="Z89">
        <v>21130105.300000004</v>
      </c>
      <c r="AA89">
        <v>821886</v>
      </c>
      <c r="AB89">
        <v>0</v>
      </c>
      <c r="AC89">
        <v>2892938.23</v>
      </c>
      <c r="AD89">
        <v>22154668.370000001</v>
      </c>
      <c r="AE89">
        <v>21279192.109999999</v>
      </c>
      <c r="AF89">
        <v>870505</v>
      </c>
      <c r="AZ89">
        <v>1719</v>
      </c>
      <c r="BA89" t="s">
        <v>282</v>
      </c>
      <c r="BB89">
        <v>6975225.4500000002</v>
      </c>
      <c r="BC89">
        <v>7330762.7999999998</v>
      </c>
      <c r="BD89">
        <v>289164</v>
      </c>
      <c r="BG89">
        <v>1719</v>
      </c>
      <c r="BH89" t="s">
        <v>282</v>
      </c>
      <c r="BI89">
        <v>0</v>
      </c>
      <c r="BJ89">
        <v>1201323.45</v>
      </c>
    </row>
    <row r="90" spans="1:62" x14ac:dyDescent="0.25">
      <c r="A90">
        <v>1719</v>
      </c>
      <c r="B90" t="s">
        <v>282</v>
      </c>
      <c r="C90">
        <v>0</v>
      </c>
      <c r="D90">
        <v>448103.02</v>
      </c>
      <c r="E90">
        <v>6291792.1799999997</v>
      </c>
      <c r="F90">
        <v>6298712.0100000007</v>
      </c>
      <c r="G90">
        <v>259671</v>
      </c>
      <c r="H90">
        <v>0</v>
      </c>
      <c r="I90">
        <v>560543.88</v>
      </c>
      <c r="J90">
        <v>6407150.6299999999</v>
      </c>
      <c r="K90">
        <v>6235375.4900000002</v>
      </c>
      <c r="L90">
        <v>312042</v>
      </c>
      <c r="M90">
        <v>0</v>
      </c>
      <c r="N90">
        <v>1231706.28</v>
      </c>
      <c r="O90">
        <v>7082079.25</v>
      </c>
      <c r="P90">
        <v>6364388.4799999995</v>
      </c>
      <c r="Q90">
        <v>312011</v>
      </c>
      <c r="R90">
        <v>0</v>
      </c>
      <c r="S90">
        <v>1294179.83</v>
      </c>
      <c r="T90">
        <v>6920949.4100000001</v>
      </c>
      <c r="U90">
        <v>6699197.1000000006</v>
      </c>
      <c r="V90">
        <v>286684</v>
      </c>
      <c r="W90">
        <v>0</v>
      </c>
      <c r="X90">
        <v>1144527.3899999999</v>
      </c>
      <c r="Y90">
        <v>6948786.2000000002</v>
      </c>
      <c r="Z90">
        <v>7182072.9700000007</v>
      </c>
      <c r="AA90">
        <v>289164</v>
      </c>
      <c r="AB90">
        <v>0</v>
      </c>
      <c r="AC90">
        <v>820621.96</v>
      </c>
      <c r="AD90">
        <v>6975225.4500000002</v>
      </c>
      <c r="AE90">
        <v>7330762.7999999998</v>
      </c>
      <c r="AF90">
        <v>296008</v>
      </c>
      <c r="AZ90">
        <v>1737</v>
      </c>
      <c r="BA90" t="s">
        <v>283</v>
      </c>
      <c r="BB90">
        <v>384197791.97000003</v>
      </c>
      <c r="BC90">
        <v>381804898.06</v>
      </c>
      <c r="BD90">
        <v>12235407</v>
      </c>
      <c r="BG90">
        <v>1737</v>
      </c>
      <c r="BH90" t="s">
        <v>283</v>
      </c>
      <c r="BI90">
        <v>5904918.7300000004</v>
      </c>
      <c r="BJ90">
        <v>44504407.299999997</v>
      </c>
    </row>
    <row r="91" spans="1:62" x14ac:dyDescent="0.25">
      <c r="A91">
        <v>1737</v>
      </c>
      <c r="B91" t="s">
        <v>283</v>
      </c>
      <c r="C91">
        <v>5141571.9000000004</v>
      </c>
      <c r="D91">
        <v>11664262.310000001</v>
      </c>
      <c r="E91">
        <v>337476923.74000001</v>
      </c>
      <c r="F91">
        <v>339475434.90999997</v>
      </c>
      <c r="G91">
        <v>11511318</v>
      </c>
      <c r="H91">
        <v>6477187.4699999997</v>
      </c>
      <c r="I91">
        <v>5636788.6299999999</v>
      </c>
      <c r="J91">
        <v>335088966.25</v>
      </c>
      <c r="K91">
        <v>337673105.25999993</v>
      </c>
      <c r="L91">
        <v>12463876</v>
      </c>
      <c r="M91">
        <v>0</v>
      </c>
      <c r="N91">
        <v>19628137.23</v>
      </c>
      <c r="O91">
        <v>356449173.18000001</v>
      </c>
      <c r="P91">
        <v>339942117.88</v>
      </c>
      <c r="Q91">
        <v>12878207</v>
      </c>
      <c r="R91">
        <v>0</v>
      </c>
      <c r="S91">
        <v>45711201.979999997</v>
      </c>
      <c r="T91">
        <v>374766057.35000002</v>
      </c>
      <c r="U91">
        <v>350464108.02000004</v>
      </c>
      <c r="V91">
        <v>11699768</v>
      </c>
      <c r="W91">
        <v>1906106.61</v>
      </c>
      <c r="X91">
        <v>57196424.299999997</v>
      </c>
      <c r="Y91">
        <v>371526826.10000002</v>
      </c>
      <c r="Z91">
        <v>359417672.97000003</v>
      </c>
      <c r="AA91">
        <v>12235407</v>
      </c>
      <c r="AB91">
        <v>11010256.439999999</v>
      </c>
      <c r="AC91">
        <v>46125853.170000002</v>
      </c>
      <c r="AD91">
        <v>384197791.97000003</v>
      </c>
      <c r="AE91">
        <v>381804898.06</v>
      </c>
      <c r="AF91">
        <v>13086762</v>
      </c>
      <c r="AZ91">
        <v>1782</v>
      </c>
      <c r="BA91" t="s">
        <v>284</v>
      </c>
      <c r="BB91">
        <v>1868050.85</v>
      </c>
      <c r="BC91">
        <v>1705246.9</v>
      </c>
      <c r="BD91">
        <v>39315</v>
      </c>
      <c r="BG91">
        <v>1782</v>
      </c>
      <c r="BH91" t="s">
        <v>284</v>
      </c>
      <c r="BI91">
        <v>10088.549999999999</v>
      </c>
      <c r="BJ91">
        <v>422195.34</v>
      </c>
    </row>
    <row r="92" spans="1:62" x14ac:dyDescent="0.25">
      <c r="A92">
        <v>1782</v>
      </c>
      <c r="B92" t="s">
        <v>284</v>
      </c>
      <c r="C92">
        <v>0</v>
      </c>
      <c r="D92">
        <v>268133.48</v>
      </c>
      <c r="E92">
        <v>2040949.64</v>
      </c>
      <c r="F92">
        <v>2043660.9200000002</v>
      </c>
      <c r="G92">
        <v>38872</v>
      </c>
      <c r="H92">
        <v>0</v>
      </c>
      <c r="I92">
        <v>265093.03999999998</v>
      </c>
      <c r="J92">
        <v>1881185.52</v>
      </c>
      <c r="K92">
        <v>1907212.9299999997</v>
      </c>
      <c r="L92">
        <v>42744</v>
      </c>
      <c r="M92">
        <v>9580.44</v>
      </c>
      <c r="N92">
        <v>167754.67000000001</v>
      </c>
      <c r="O92">
        <v>1955086.73</v>
      </c>
      <c r="P92">
        <v>1863908.71</v>
      </c>
      <c r="Q92">
        <v>42931</v>
      </c>
      <c r="R92">
        <v>8771.66</v>
      </c>
      <c r="S92">
        <v>227423.14</v>
      </c>
      <c r="T92">
        <v>1921952.65</v>
      </c>
      <c r="U92">
        <v>1892460.45</v>
      </c>
      <c r="V92">
        <v>37286</v>
      </c>
      <c r="W92">
        <v>5123.74</v>
      </c>
      <c r="X92">
        <v>121777.12</v>
      </c>
      <c r="Y92">
        <v>1789811.54</v>
      </c>
      <c r="Z92">
        <v>1967504.58</v>
      </c>
      <c r="AA92">
        <v>39315</v>
      </c>
      <c r="AB92">
        <v>4958.1499999999996</v>
      </c>
      <c r="AC92">
        <v>228806.71</v>
      </c>
      <c r="AD92">
        <v>1868050.85</v>
      </c>
      <c r="AE92">
        <v>1705246.9</v>
      </c>
      <c r="AF92">
        <v>44229</v>
      </c>
      <c r="AZ92">
        <v>1791</v>
      </c>
      <c r="BA92" t="s">
        <v>285</v>
      </c>
      <c r="BB92">
        <v>8664878.6300000008</v>
      </c>
      <c r="BC92">
        <v>8186260.5700000003</v>
      </c>
      <c r="BD92">
        <v>325297</v>
      </c>
      <c r="BG92">
        <v>1791</v>
      </c>
      <c r="BH92" t="s">
        <v>285</v>
      </c>
      <c r="BI92">
        <v>0</v>
      </c>
      <c r="BJ92">
        <v>1342128.8999999999</v>
      </c>
    </row>
    <row r="93" spans="1:62" x14ac:dyDescent="0.25">
      <c r="A93">
        <v>1791</v>
      </c>
      <c r="B93" t="s">
        <v>285</v>
      </c>
      <c r="C93">
        <v>0</v>
      </c>
      <c r="D93">
        <v>750755.96</v>
      </c>
      <c r="E93">
        <v>6959441.0899999999</v>
      </c>
      <c r="F93">
        <v>6960701.0300000003</v>
      </c>
      <c r="G93">
        <v>287737</v>
      </c>
      <c r="H93">
        <v>0</v>
      </c>
      <c r="I93">
        <v>252902.54</v>
      </c>
      <c r="J93">
        <v>6749058.0599999996</v>
      </c>
      <c r="K93">
        <v>7106023.0499999998</v>
      </c>
      <c r="L93">
        <v>335508</v>
      </c>
      <c r="M93">
        <v>0</v>
      </c>
      <c r="N93">
        <v>399023.94</v>
      </c>
      <c r="O93">
        <v>7412404.29</v>
      </c>
      <c r="P93">
        <v>7243180.54</v>
      </c>
      <c r="Q93">
        <v>338101</v>
      </c>
      <c r="R93">
        <v>0</v>
      </c>
      <c r="S93">
        <v>482027.12</v>
      </c>
      <c r="T93">
        <v>7368109.1200000001</v>
      </c>
      <c r="U93">
        <v>7305374.5200000005</v>
      </c>
      <c r="V93">
        <v>313697</v>
      </c>
      <c r="W93">
        <v>0</v>
      </c>
      <c r="X93">
        <v>771927.18</v>
      </c>
      <c r="Y93">
        <v>8040555.3099999996</v>
      </c>
      <c r="Z93">
        <v>7708073.6999999993</v>
      </c>
      <c r="AA93">
        <v>325297</v>
      </c>
      <c r="AB93">
        <v>0</v>
      </c>
      <c r="AC93">
        <v>1161963.3899999999</v>
      </c>
      <c r="AD93">
        <v>8664878.6300000008</v>
      </c>
      <c r="AE93">
        <v>8186260.5700000003</v>
      </c>
      <c r="AF93">
        <v>350104</v>
      </c>
      <c r="AZ93">
        <v>1863</v>
      </c>
      <c r="BA93" t="s">
        <v>286</v>
      </c>
      <c r="BB93">
        <v>113032283.78</v>
      </c>
      <c r="BC93">
        <v>119847755.52</v>
      </c>
      <c r="BD93">
        <v>4515012</v>
      </c>
      <c r="BG93">
        <v>1863</v>
      </c>
      <c r="BH93" t="s">
        <v>286</v>
      </c>
      <c r="BI93">
        <v>0</v>
      </c>
      <c r="BJ93">
        <v>12813921.529999999</v>
      </c>
    </row>
    <row r="94" spans="1:62" x14ac:dyDescent="0.25">
      <c r="A94">
        <v>1863</v>
      </c>
      <c r="B94" t="s">
        <v>286</v>
      </c>
      <c r="C94">
        <v>399299.51</v>
      </c>
      <c r="D94">
        <v>4393551.8099999996</v>
      </c>
      <c r="E94">
        <v>109339636.39</v>
      </c>
      <c r="F94">
        <v>104115662.12000002</v>
      </c>
      <c r="G94">
        <v>4321171</v>
      </c>
      <c r="H94">
        <v>431.12</v>
      </c>
      <c r="I94">
        <v>7449115.5499999998</v>
      </c>
      <c r="J94">
        <v>108691757.88</v>
      </c>
      <c r="K94">
        <v>105833478.34</v>
      </c>
      <c r="L94">
        <v>4802377</v>
      </c>
      <c r="M94">
        <v>0</v>
      </c>
      <c r="N94">
        <v>16911943.140000001</v>
      </c>
      <c r="O94">
        <v>115351745.37</v>
      </c>
      <c r="P94">
        <v>104693486.84999999</v>
      </c>
      <c r="Q94">
        <v>4922517</v>
      </c>
      <c r="R94">
        <v>0</v>
      </c>
      <c r="S94">
        <v>26932133.32</v>
      </c>
      <c r="T94">
        <v>117173805.31999999</v>
      </c>
      <c r="U94">
        <v>107668182.30000001</v>
      </c>
      <c r="V94">
        <v>4496822</v>
      </c>
      <c r="W94">
        <v>0</v>
      </c>
      <c r="X94">
        <v>26768208.379999999</v>
      </c>
      <c r="Y94">
        <v>111713301.09999999</v>
      </c>
      <c r="Z94">
        <v>111886939.36999999</v>
      </c>
      <c r="AA94">
        <v>4515012</v>
      </c>
      <c r="AB94">
        <v>0</v>
      </c>
      <c r="AC94">
        <v>20055616.940000001</v>
      </c>
      <c r="AD94">
        <v>113032283.78</v>
      </c>
      <c r="AE94">
        <v>119847755.52</v>
      </c>
      <c r="AF94">
        <v>4723656</v>
      </c>
      <c r="AZ94">
        <v>1908</v>
      </c>
      <c r="BA94" t="s">
        <v>287</v>
      </c>
      <c r="BB94">
        <v>5072369.4000000004</v>
      </c>
      <c r="BC94">
        <v>4752705.88</v>
      </c>
      <c r="BD94">
        <v>198213</v>
      </c>
      <c r="BG94">
        <v>1908</v>
      </c>
      <c r="BH94" t="s">
        <v>287</v>
      </c>
      <c r="BI94">
        <v>285.79000000000002</v>
      </c>
      <c r="BJ94">
        <v>1036592.52</v>
      </c>
    </row>
    <row r="95" spans="1:62" x14ac:dyDescent="0.25">
      <c r="A95">
        <v>1908</v>
      </c>
      <c r="B95" t="s">
        <v>287</v>
      </c>
      <c r="C95">
        <v>0</v>
      </c>
      <c r="D95">
        <v>382110.05</v>
      </c>
      <c r="E95">
        <v>4136709.73</v>
      </c>
      <c r="F95">
        <v>4529607.58</v>
      </c>
      <c r="G95">
        <v>171089</v>
      </c>
      <c r="H95">
        <v>0</v>
      </c>
      <c r="I95">
        <v>257395.09</v>
      </c>
      <c r="J95">
        <v>4517163.75</v>
      </c>
      <c r="K95">
        <v>4609377.1099999994</v>
      </c>
      <c r="L95">
        <v>205342</v>
      </c>
      <c r="M95">
        <v>0</v>
      </c>
      <c r="N95">
        <v>429263.7</v>
      </c>
      <c r="O95">
        <v>5016183.01</v>
      </c>
      <c r="P95">
        <v>4842759.3199999994</v>
      </c>
      <c r="Q95">
        <v>223667</v>
      </c>
      <c r="R95">
        <v>0</v>
      </c>
      <c r="S95">
        <v>631914.07999999996</v>
      </c>
      <c r="T95">
        <v>5001890.45</v>
      </c>
      <c r="U95">
        <v>4721827.32</v>
      </c>
      <c r="V95">
        <v>204848</v>
      </c>
      <c r="W95">
        <v>0</v>
      </c>
      <c r="X95">
        <v>789081.94</v>
      </c>
      <c r="Y95">
        <v>5004258.4800000004</v>
      </c>
      <c r="Z95">
        <v>4822799.7200000007</v>
      </c>
      <c r="AA95">
        <v>198213</v>
      </c>
      <c r="AB95">
        <v>0</v>
      </c>
      <c r="AC95">
        <v>1095023.75</v>
      </c>
      <c r="AD95">
        <v>5072369.4000000004</v>
      </c>
      <c r="AE95">
        <v>4752705.88</v>
      </c>
      <c r="AF95">
        <v>205054</v>
      </c>
      <c r="AZ95">
        <v>1926</v>
      </c>
      <c r="BA95" t="s">
        <v>288</v>
      </c>
      <c r="BB95">
        <v>6853835.2199999997</v>
      </c>
      <c r="BC95">
        <v>6290220.6799999997</v>
      </c>
      <c r="BD95">
        <v>222370</v>
      </c>
      <c r="BG95">
        <v>1926</v>
      </c>
      <c r="BH95" t="s">
        <v>288</v>
      </c>
      <c r="BI95">
        <v>0</v>
      </c>
      <c r="BJ95">
        <v>1523578.09</v>
      </c>
    </row>
    <row r="96" spans="1:62" x14ac:dyDescent="0.25">
      <c r="A96">
        <v>1926</v>
      </c>
      <c r="B96" t="s">
        <v>288</v>
      </c>
      <c r="C96">
        <v>0</v>
      </c>
      <c r="D96">
        <v>1551132.17</v>
      </c>
      <c r="E96">
        <v>6133030.2000000002</v>
      </c>
      <c r="F96">
        <v>5838237.8499999996</v>
      </c>
      <c r="G96">
        <v>209609</v>
      </c>
      <c r="H96">
        <v>0</v>
      </c>
      <c r="I96">
        <v>1234407.08</v>
      </c>
      <c r="J96">
        <v>5687387.21</v>
      </c>
      <c r="K96">
        <v>5976166.7600000007</v>
      </c>
      <c r="L96">
        <v>224013</v>
      </c>
      <c r="M96">
        <v>0</v>
      </c>
      <c r="N96">
        <v>1121869.72</v>
      </c>
      <c r="O96">
        <v>6223217.3600000003</v>
      </c>
      <c r="P96">
        <v>6299451.1499999994</v>
      </c>
      <c r="Q96">
        <v>237068</v>
      </c>
      <c r="R96">
        <v>0</v>
      </c>
      <c r="S96">
        <v>1000929.64</v>
      </c>
      <c r="T96">
        <v>6683353.9100000001</v>
      </c>
      <c r="U96">
        <v>6703179.3600000003</v>
      </c>
      <c r="V96">
        <v>215930</v>
      </c>
      <c r="W96">
        <v>0</v>
      </c>
      <c r="X96">
        <v>767111.53</v>
      </c>
      <c r="Y96">
        <v>6554491</v>
      </c>
      <c r="Z96">
        <v>6799237.2299999995</v>
      </c>
      <c r="AA96">
        <v>222370</v>
      </c>
      <c r="AB96">
        <v>0</v>
      </c>
      <c r="AC96">
        <v>1362124.76</v>
      </c>
      <c r="AD96">
        <v>6853835.2199999997</v>
      </c>
      <c r="AE96">
        <v>6290220.6799999997</v>
      </c>
      <c r="AF96">
        <v>227522</v>
      </c>
      <c r="AZ96">
        <v>1944</v>
      </c>
      <c r="BA96" t="s">
        <v>289</v>
      </c>
      <c r="BB96">
        <v>9472515.7699999996</v>
      </c>
      <c r="BC96">
        <v>9109970.0699999984</v>
      </c>
      <c r="BD96">
        <v>341544</v>
      </c>
      <c r="BG96">
        <v>1944</v>
      </c>
      <c r="BH96" t="s">
        <v>289</v>
      </c>
      <c r="BI96">
        <v>0</v>
      </c>
      <c r="BJ96">
        <v>1802316.55</v>
      </c>
    </row>
    <row r="97" spans="1:62" x14ac:dyDescent="0.25">
      <c r="A97">
        <v>1944</v>
      </c>
      <c r="B97" t="s">
        <v>289</v>
      </c>
      <c r="C97">
        <v>0</v>
      </c>
      <c r="D97">
        <v>-504372.73</v>
      </c>
      <c r="E97">
        <v>8253697.4299999997</v>
      </c>
      <c r="F97">
        <v>8103358.2799999993</v>
      </c>
      <c r="G97">
        <v>311957</v>
      </c>
      <c r="H97">
        <v>0</v>
      </c>
      <c r="I97">
        <v>132635.39000000001</v>
      </c>
      <c r="J97">
        <v>8886692.2300000004</v>
      </c>
      <c r="K97">
        <v>8194254.8999999994</v>
      </c>
      <c r="L97">
        <v>352900</v>
      </c>
      <c r="M97">
        <v>0</v>
      </c>
      <c r="N97">
        <v>697559.41</v>
      </c>
      <c r="O97">
        <v>9185336.5299999993</v>
      </c>
      <c r="P97">
        <v>8650793.2200000007</v>
      </c>
      <c r="Q97">
        <v>353121</v>
      </c>
      <c r="R97">
        <v>0</v>
      </c>
      <c r="S97">
        <v>1222409.5</v>
      </c>
      <c r="T97">
        <v>9395958.0299999993</v>
      </c>
      <c r="U97">
        <v>8850570.9399999995</v>
      </c>
      <c r="V97">
        <v>317305</v>
      </c>
      <c r="W97">
        <v>0</v>
      </c>
      <c r="X97">
        <v>1333474.18</v>
      </c>
      <c r="Y97">
        <v>9363603.1099999994</v>
      </c>
      <c r="Z97">
        <v>9240811.6100000013</v>
      </c>
      <c r="AA97">
        <v>341544</v>
      </c>
      <c r="AB97">
        <v>0</v>
      </c>
      <c r="AC97">
        <v>1625981.43</v>
      </c>
      <c r="AD97">
        <v>9472515.7699999996</v>
      </c>
      <c r="AE97">
        <v>9109970.0699999984</v>
      </c>
      <c r="AF97">
        <v>354285</v>
      </c>
      <c r="AZ97">
        <v>1953</v>
      </c>
      <c r="BA97" t="s">
        <v>290</v>
      </c>
      <c r="BB97">
        <v>6012282.4500000002</v>
      </c>
      <c r="BC97">
        <v>6616024.8899999987</v>
      </c>
      <c r="BD97">
        <v>224108</v>
      </c>
      <c r="BG97">
        <v>1953</v>
      </c>
      <c r="BH97" t="s">
        <v>290</v>
      </c>
      <c r="BI97">
        <v>0</v>
      </c>
      <c r="BJ97">
        <v>727785.97</v>
      </c>
    </row>
    <row r="98" spans="1:62" x14ac:dyDescent="0.25">
      <c r="A98">
        <v>1953</v>
      </c>
      <c r="B98" t="s">
        <v>290</v>
      </c>
      <c r="C98">
        <v>14726.65</v>
      </c>
      <c r="D98">
        <v>747576.69</v>
      </c>
      <c r="E98">
        <v>5558007.21</v>
      </c>
      <c r="F98">
        <v>5327737.4099999992</v>
      </c>
      <c r="G98">
        <v>223403</v>
      </c>
      <c r="H98">
        <v>16460.27</v>
      </c>
      <c r="I98">
        <v>655556.16</v>
      </c>
      <c r="J98">
        <v>5371285.2000000002</v>
      </c>
      <c r="K98">
        <v>5401829.0099999988</v>
      </c>
      <c r="L98">
        <v>240207</v>
      </c>
      <c r="M98">
        <v>0</v>
      </c>
      <c r="N98">
        <v>1108268.26</v>
      </c>
      <c r="O98">
        <v>5900287.8499999996</v>
      </c>
      <c r="P98">
        <v>5511244.7399999993</v>
      </c>
      <c r="Q98">
        <v>243441</v>
      </c>
      <c r="R98">
        <v>0</v>
      </c>
      <c r="S98">
        <v>1522449.46</v>
      </c>
      <c r="T98">
        <v>6182748.8200000003</v>
      </c>
      <c r="U98">
        <v>5801800.1099999994</v>
      </c>
      <c r="V98">
        <v>226836</v>
      </c>
      <c r="W98">
        <v>0</v>
      </c>
      <c r="X98">
        <v>1210995.55</v>
      </c>
      <c r="Y98">
        <v>5831610.4500000002</v>
      </c>
      <c r="Z98">
        <v>6149331.4799999995</v>
      </c>
      <c r="AA98">
        <v>224108</v>
      </c>
      <c r="AB98">
        <v>0</v>
      </c>
      <c r="AC98">
        <v>618579.15</v>
      </c>
      <c r="AD98">
        <v>6012282.4500000002</v>
      </c>
      <c r="AE98">
        <v>6616024.8899999987</v>
      </c>
      <c r="AF98">
        <v>234989</v>
      </c>
      <c r="AZ98">
        <v>1963</v>
      </c>
      <c r="BA98" t="s">
        <v>291</v>
      </c>
      <c r="BB98">
        <v>6513890.2800000003</v>
      </c>
      <c r="BC98">
        <v>6105890.5499999998</v>
      </c>
      <c r="BD98">
        <v>233569</v>
      </c>
      <c r="BG98">
        <v>1963</v>
      </c>
      <c r="BH98" t="s">
        <v>291</v>
      </c>
      <c r="BI98">
        <v>0</v>
      </c>
      <c r="BJ98">
        <v>2031610.61</v>
      </c>
    </row>
    <row r="99" spans="1:62" x14ac:dyDescent="0.25">
      <c r="A99">
        <v>1963</v>
      </c>
      <c r="B99" t="s">
        <v>291</v>
      </c>
      <c r="C99">
        <v>850000</v>
      </c>
      <c r="D99">
        <v>479765.19</v>
      </c>
      <c r="E99">
        <v>5511440.6100000003</v>
      </c>
      <c r="F99">
        <v>5216922.0399999991</v>
      </c>
      <c r="G99">
        <v>208244</v>
      </c>
      <c r="H99">
        <v>850000</v>
      </c>
      <c r="I99">
        <v>570702.15</v>
      </c>
      <c r="J99">
        <v>5452166.3499999996</v>
      </c>
      <c r="K99">
        <v>5367261.13</v>
      </c>
      <c r="L99">
        <v>243905</v>
      </c>
      <c r="M99">
        <v>0</v>
      </c>
      <c r="N99">
        <v>469822.86</v>
      </c>
      <c r="O99">
        <v>5803276.3200000003</v>
      </c>
      <c r="P99">
        <v>5904155.6100000003</v>
      </c>
      <c r="Q99">
        <v>246138</v>
      </c>
      <c r="R99">
        <v>0</v>
      </c>
      <c r="S99">
        <v>368929.28000000003</v>
      </c>
      <c r="T99">
        <v>6279577.9299999997</v>
      </c>
      <c r="U99">
        <v>6380471.5099999998</v>
      </c>
      <c r="V99">
        <v>222549</v>
      </c>
      <c r="W99">
        <v>0</v>
      </c>
      <c r="X99">
        <v>1547524.07</v>
      </c>
      <c r="Y99">
        <v>6360442.8600000003</v>
      </c>
      <c r="Z99">
        <v>6031848.0699999994</v>
      </c>
      <c r="AA99">
        <v>233569</v>
      </c>
      <c r="AB99">
        <v>0</v>
      </c>
      <c r="AC99">
        <v>1934549.38</v>
      </c>
      <c r="AD99">
        <v>6513890.2800000003</v>
      </c>
      <c r="AE99">
        <v>6105890.5499999998</v>
      </c>
      <c r="AF99">
        <v>241009</v>
      </c>
      <c r="AZ99">
        <v>3582</v>
      </c>
      <c r="BA99" t="s">
        <v>292</v>
      </c>
      <c r="BB99">
        <v>9215850.0199999996</v>
      </c>
      <c r="BC99">
        <v>8833307.1399999987</v>
      </c>
      <c r="BD99">
        <v>272285</v>
      </c>
      <c r="BG99">
        <v>3582</v>
      </c>
      <c r="BH99" t="s">
        <v>292</v>
      </c>
      <c r="BI99">
        <v>99686.02</v>
      </c>
      <c r="BJ99">
        <v>1249350.3600000001</v>
      </c>
    </row>
    <row r="100" spans="1:62" x14ac:dyDescent="0.25">
      <c r="A100">
        <v>1968</v>
      </c>
      <c r="B100" t="s">
        <v>292</v>
      </c>
      <c r="C100">
        <v>11405.61</v>
      </c>
      <c r="D100">
        <v>489354.29</v>
      </c>
      <c r="E100">
        <v>7849905.3200000003</v>
      </c>
      <c r="F100">
        <v>7943784.1099999994</v>
      </c>
      <c r="G100">
        <v>251378</v>
      </c>
      <c r="H100">
        <v>9789.6299999999992</v>
      </c>
      <c r="I100">
        <v>520194.15</v>
      </c>
      <c r="J100">
        <v>8133429.5999999996</v>
      </c>
      <c r="K100">
        <v>8028507.5399999991</v>
      </c>
      <c r="L100">
        <v>308807</v>
      </c>
      <c r="M100">
        <v>12511.32</v>
      </c>
      <c r="N100">
        <v>814882.4</v>
      </c>
      <c r="O100">
        <v>8762400.3200000003</v>
      </c>
      <c r="P100">
        <v>8329532.0699999994</v>
      </c>
      <c r="Q100">
        <v>311385</v>
      </c>
      <c r="R100">
        <v>7636.28</v>
      </c>
      <c r="S100">
        <v>1150864.67</v>
      </c>
      <c r="T100">
        <v>9004997.0600000005</v>
      </c>
      <c r="U100">
        <v>8664654.5399999991</v>
      </c>
      <c r="V100">
        <v>282484</v>
      </c>
      <c r="W100">
        <v>16527.439999999999</v>
      </c>
      <c r="X100">
        <v>955475.87</v>
      </c>
      <c r="Y100">
        <v>8339239.6399999997</v>
      </c>
      <c r="Z100">
        <v>8594202.4600000009</v>
      </c>
      <c r="AA100">
        <v>272285</v>
      </c>
      <c r="AB100">
        <v>41587</v>
      </c>
      <c r="AC100">
        <v>1313910.6399999999</v>
      </c>
      <c r="AD100">
        <v>9215850.0199999996</v>
      </c>
      <c r="AE100">
        <v>8833307.1399999987</v>
      </c>
      <c r="AF100">
        <v>278630</v>
      </c>
      <c r="AZ100">
        <v>3978</v>
      </c>
      <c r="BA100" t="s">
        <v>609</v>
      </c>
      <c r="BB100">
        <v>5500246.6600000001</v>
      </c>
      <c r="BC100">
        <v>5166419.22</v>
      </c>
      <c r="BD100">
        <v>217626</v>
      </c>
      <c r="BG100">
        <v>3978</v>
      </c>
      <c r="BH100" t="s">
        <v>609</v>
      </c>
      <c r="BI100">
        <v>0</v>
      </c>
      <c r="BJ100">
        <v>2733584.69</v>
      </c>
    </row>
    <row r="101" spans="1:62" x14ac:dyDescent="0.25">
      <c r="A101">
        <v>3978</v>
      </c>
      <c r="B101" t="s">
        <v>293</v>
      </c>
      <c r="C101">
        <v>0</v>
      </c>
      <c r="D101">
        <v>14461.81</v>
      </c>
      <c r="E101">
        <v>3757148.94</v>
      </c>
      <c r="F101">
        <v>4091402.1300000004</v>
      </c>
      <c r="G101">
        <v>118588</v>
      </c>
      <c r="H101">
        <v>0</v>
      </c>
      <c r="I101">
        <v>-83518.39</v>
      </c>
      <c r="J101">
        <v>4091274.01</v>
      </c>
      <c r="K101">
        <v>4174388.1500000004</v>
      </c>
      <c r="L101">
        <v>146268</v>
      </c>
      <c r="M101">
        <v>0</v>
      </c>
      <c r="N101">
        <v>-137119.04000000001</v>
      </c>
      <c r="O101">
        <v>4305951.1900000004</v>
      </c>
      <c r="P101">
        <v>4337775.7699999996</v>
      </c>
      <c r="Q101">
        <v>146928</v>
      </c>
      <c r="R101">
        <v>0</v>
      </c>
      <c r="S101">
        <v>1500381.07</v>
      </c>
      <c r="T101">
        <v>6883132.1100000003</v>
      </c>
      <c r="U101">
        <v>6337756.7899999991</v>
      </c>
      <c r="V101">
        <v>214462</v>
      </c>
      <c r="W101">
        <v>0</v>
      </c>
      <c r="X101">
        <v>1773755.59</v>
      </c>
      <c r="Y101">
        <v>6100836.1600000001</v>
      </c>
      <c r="Z101">
        <v>5853433.7800000012</v>
      </c>
      <c r="AA101">
        <v>217626</v>
      </c>
      <c r="AB101">
        <v>0</v>
      </c>
      <c r="AC101">
        <v>2197626.58</v>
      </c>
      <c r="AD101">
        <v>5500246.6600000001</v>
      </c>
      <c r="AE101">
        <v>5166419.22</v>
      </c>
      <c r="AF101">
        <v>225209</v>
      </c>
      <c r="AZ101">
        <v>6741</v>
      </c>
      <c r="BA101" t="s">
        <v>294</v>
      </c>
      <c r="BB101">
        <v>9872882.7300000004</v>
      </c>
      <c r="BC101">
        <v>9395991.3299999982</v>
      </c>
      <c r="BD101">
        <v>353179</v>
      </c>
      <c r="BG101">
        <v>6741</v>
      </c>
      <c r="BH101" t="s">
        <v>294</v>
      </c>
      <c r="BI101">
        <v>0</v>
      </c>
      <c r="BJ101">
        <v>1359038.08</v>
      </c>
    </row>
    <row r="102" spans="1:62" x14ac:dyDescent="0.25">
      <c r="A102">
        <v>6741</v>
      </c>
      <c r="B102" t="s">
        <v>294</v>
      </c>
      <c r="C102">
        <v>0</v>
      </c>
      <c r="D102">
        <v>537934.05000000005</v>
      </c>
      <c r="E102">
        <v>5797516.5199999996</v>
      </c>
      <c r="F102">
        <v>5703241.8799999999</v>
      </c>
      <c r="G102">
        <v>188230</v>
      </c>
      <c r="H102">
        <v>0</v>
      </c>
      <c r="I102">
        <v>712177</v>
      </c>
      <c r="J102">
        <v>6004076.6299999999</v>
      </c>
      <c r="K102">
        <v>5829833.6799999997</v>
      </c>
      <c r="L102">
        <v>204365</v>
      </c>
      <c r="M102">
        <v>0</v>
      </c>
      <c r="N102">
        <v>764678.53</v>
      </c>
      <c r="O102">
        <v>6072009.4800000004</v>
      </c>
      <c r="P102">
        <v>6019507.9500000002</v>
      </c>
      <c r="Q102">
        <v>214492</v>
      </c>
      <c r="R102">
        <v>0</v>
      </c>
      <c r="S102">
        <v>1281598.95</v>
      </c>
      <c r="T102">
        <v>9559070.0500000007</v>
      </c>
      <c r="U102">
        <v>10335939.57</v>
      </c>
      <c r="V102">
        <v>347234</v>
      </c>
      <c r="W102">
        <v>0</v>
      </c>
      <c r="X102">
        <v>738961.16</v>
      </c>
      <c r="Y102">
        <v>9260882.7799999993</v>
      </c>
      <c r="Z102">
        <v>9803520.5700000022</v>
      </c>
      <c r="AA102">
        <v>353179</v>
      </c>
      <c r="AB102">
        <v>0</v>
      </c>
      <c r="AC102">
        <v>1150911.74</v>
      </c>
      <c r="AD102">
        <v>9872882.7300000004</v>
      </c>
      <c r="AE102">
        <v>9395991.3299999982</v>
      </c>
      <c r="AF102">
        <v>367021</v>
      </c>
      <c r="AZ102">
        <v>1970</v>
      </c>
      <c r="BA102" t="s">
        <v>295</v>
      </c>
      <c r="BB102">
        <v>5365488.0199999996</v>
      </c>
      <c r="BC102">
        <v>5889953.5999999996</v>
      </c>
      <c r="BD102">
        <v>181667</v>
      </c>
      <c r="BG102">
        <v>1970</v>
      </c>
      <c r="BH102" t="s">
        <v>295</v>
      </c>
      <c r="BI102">
        <v>0</v>
      </c>
      <c r="BJ102">
        <v>-282939.45</v>
      </c>
    </row>
    <row r="103" spans="1:62" x14ac:dyDescent="0.25">
      <c r="A103">
        <v>1970</v>
      </c>
      <c r="B103" t="s">
        <v>295</v>
      </c>
      <c r="C103">
        <v>0</v>
      </c>
      <c r="D103">
        <v>756536.07</v>
      </c>
      <c r="E103">
        <v>4825028.2</v>
      </c>
      <c r="F103">
        <v>5186840.24</v>
      </c>
      <c r="G103">
        <v>185155</v>
      </c>
      <c r="H103">
        <v>0</v>
      </c>
      <c r="I103">
        <v>404528.47</v>
      </c>
      <c r="J103">
        <v>4770509.3099999996</v>
      </c>
      <c r="K103">
        <v>5123975.6999999993</v>
      </c>
      <c r="L103">
        <v>202854</v>
      </c>
      <c r="M103">
        <v>0</v>
      </c>
      <c r="N103">
        <v>743079</v>
      </c>
      <c r="O103">
        <v>5468972.0599999996</v>
      </c>
      <c r="P103">
        <v>5109521.8199999994</v>
      </c>
      <c r="Q103">
        <v>209828</v>
      </c>
      <c r="R103">
        <v>101318.39999999999</v>
      </c>
      <c r="S103">
        <v>673026.06</v>
      </c>
      <c r="T103">
        <v>5410504.0700000003</v>
      </c>
      <c r="U103">
        <v>5418183.0700000012</v>
      </c>
      <c r="V103">
        <v>184489</v>
      </c>
      <c r="W103">
        <v>127329.57</v>
      </c>
      <c r="X103">
        <v>172248.86</v>
      </c>
      <c r="Y103">
        <v>5425394.2000000002</v>
      </c>
      <c r="Z103">
        <v>5874473.7700000014</v>
      </c>
      <c r="AA103">
        <v>181667</v>
      </c>
      <c r="AB103">
        <v>0</v>
      </c>
      <c r="AC103">
        <v>-248596.14</v>
      </c>
      <c r="AD103">
        <v>5365488.0199999996</v>
      </c>
      <c r="AE103">
        <v>5889953.5999999996</v>
      </c>
      <c r="AF103">
        <v>192256</v>
      </c>
      <c r="AZ103">
        <v>1972</v>
      </c>
      <c r="BA103" t="s">
        <v>296</v>
      </c>
      <c r="BB103">
        <v>3960280.04</v>
      </c>
      <c r="BC103">
        <v>4130696.16</v>
      </c>
      <c r="BD103">
        <v>152623</v>
      </c>
      <c r="BG103">
        <v>1972</v>
      </c>
      <c r="BH103" t="s">
        <v>296</v>
      </c>
      <c r="BI103">
        <v>0</v>
      </c>
      <c r="BJ103">
        <v>503206.55</v>
      </c>
    </row>
    <row r="104" spans="1:62" x14ac:dyDescent="0.25">
      <c r="A104">
        <v>1972</v>
      </c>
      <c r="B104" t="s">
        <v>296</v>
      </c>
      <c r="C104">
        <v>0</v>
      </c>
      <c r="D104">
        <v>504694.22</v>
      </c>
      <c r="E104">
        <v>4098872.42</v>
      </c>
      <c r="F104">
        <v>4134928.8200000003</v>
      </c>
      <c r="G104">
        <v>161933</v>
      </c>
      <c r="H104">
        <v>0</v>
      </c>
      <c r="I104">
        <v>281892.14</v>
      </c>
      <c r="J104">
        <v>3876336.13</v>
      </c>
      <c r="K104">
        <v>4059841.8300000005</v>
      </c>
      <c r="L104">
        <v>172401</v>
      </c>
      <c r="M104">
        <v>0</v>
      </c>
      <c r="N104">
        <v>469922.9</v>
      </c>
      <c r="O104">
        <v>4250894.4400000004</v>
      </c>
      <c r="P104">
        <v>4004947.48</v>
      </c>
      <c r="Q104">
        <v>175700</v>
      </c>
      <c r="R104">
        <v>0</v>
      </c>
      <c r="S104">
        <v>757482.92</v>
      </c>
      <c r="T104">
        <v>4325296.96</v>
      </c>
      <c r="U104">
        <v>4025306.5600000005</v>
      </c>
      <c r="V104">
        <v>154095</v>
      </c>
      <c r="W104">
        <v>0</v>
      </c>
      <c r="X104">
        <v>898443.07</v>
      </c>
      <c r="Y104">
        <v>4247052.5999999996</v>
      </c>
      <c r="Z104">
        <v>4102065.95</v>
      </c>
      <c r="AA104">
        <v>152623</v>
      </c>
      <c r="AB104">
        <v>0</v>
      </c>
      <c r="AC104">
        <v>662336.93999999994</v>
      </c>
      <c r="AD104">
        <v>3960280.04</v>
      </c>
      <c r="AE104">
        <v>4130696.16</v>
      </c>
      <c r="AF104">
        <v>157936</v>
      </c>
      <c r="AZ104">
        <v>1965</v>
      </c>
      <c r="BA104" t="s">
        <v>297</v>
      </c>
      <c r="BB104">
        <v>6738682.2300000004</v>
      </c>
      <c r="BC104">
        <v>6792428.9899999993</v>
      </c>
      <c r="BD104">
        <v>138840</v>
      </c>
      <c r="BG104">
        <v>1965</v>
      </c>
      <c r="BH104" t="s">
        <v>297</v>
      </c>
      <c r="BI104">
        <v>0</v>
      </c>
      <c r="BJ104">
        <v>498176.38</v>
      </c>
    </row>
    <row r="105" spans="1:62" x14ac:dyDescent="0.25">
      <c r="A105">
        <v>1965</v>
      </c>
      <c r="B105" t="s">
        <v>297</v>
      </c>
      <c r="C105">
        <v>0</v>
      </c>
      <c r="D105">
        <v>15192.91</v>
      </c>
      <c r="E105">
        <v>3713678.2</v>
      </c>
      <c r="F105">
        <v>4073778.92</v>
      </c>
      <c r="G105">
        <v>139648</v>
      </c>
      <c r="H105">
        <v>0</v>
      </c>
      <c r="I105">
        <v>-450064.77</v>
      </c>
      <c r="J105">
        <v>3645849.26</v>
      </c>
      <c r="K105">
        <v>4059907.2800000003</v>
      </c>
      <c r="L105">
        <v>157730</v>
      </c>
      <c r="M105">
        <v>0</v>
      </c>
      <c r="N105">
        <v>-367416.25</v>
      </c>
      <c r="O105">
        <v>3839473.64</v>
      </c>
      <c r="P105">
        <v>3722755.5</v>
      </c>
      <c r="Q105">
        <v>158864</v>
      </c>
      <c r="R105">
        <v>0</v>
      </c>
      <c r="S105">
        <v>-284284.59999999998</v>
      </c>
      <c r="T105">
        <v>3577016.86</v>
      </c>
      <c r="U105">
        <v>3421670.33</v>
      </c>
      <c r="V105">
        <v>141165</v>
      </c>
      <c r="W105">
        <v>0</v>
      </c>
      <c r="X105">
        <v>-308950.32</v>
      </c>
      <c r="Y105">
        <v>3503130.3</v>
      </c>
      <c r="Z105">
        <v>3531134.4100000006</v>
      </c>
      <c r="AA105">
        <v>138840</v>
      </c>
      <c r="AB105">
        <v>0</v>
      </c>
      <c r="AC105">
        <v>736642.2</v>
      </c>
      <c r="AD105">
        <v>6738682.2300000004</v>
      </c>
      <c r="AE105">
        <v>6792428.9899999993</v>
      </c>
      <c r="AF105">
        <v>275172</v>
      </c>
      <c r="AZ105">
        <v>657</v>
      </c>
      <c r="BA105" t="s">
        <v>298</v>
      </c>
      <c r="BB105">
        <v>9396493.4800000004</v>
      </c>
      <c r="BC105">
        <v>9914734.8300000001</v>
      </c>
      <c r="BD105">
        <v>329436</v>
      </c>
      <c r="BG105">
        <v>657</v>
      </c>
      <c r="BH105" t="s">
        <v>298</v>
      </c>
      <c r="BI105">
        <v>0</v>
      </c>
      <c r="BJ105">
        <v>1970404.55</v>
      </c>
    </row>
    <row r="106" spans="1:62" x14ac:dyDescent="0.25">
      <c r="A106">
        <v>657</v>
      </c>
      <c r="B106" t="s">
        <v>298</v>
      </c>
      <c r="C106">
        <v>0</v>
      </c>
      <c r="D106">
        <v>1208059.8400000001</v>
      </c>
      <c r="E106">
        <v>7814822.5800000001</v>
      </c>
      <c r="F106">
        <v>7778655.3699999992</v>
      </c>
      <c r="G106">
        <v>253336</v>
      </c>
      <c r="H106">
        <v>0</v>
      </c>
      <c r="I106">
        <v>1256424.92</v>
      </c>
      <c r="J106">
        <v>7715477.2199999997</v>
      </c>
      <c r="K106">
        <v>7658436.7399999993</v>
      </c>
      <c r="L106">
        <v>284229</v>
      </c>
      <c r="M106">
        <v>0</v>
      </c>
      <c r="N106">
        <v>1803152.28</v>
      </c>
      <c r="O106">
        <v>8356974.7699999996</v>
      </c>
      <c r="P106">
        <v>7792016.6100000003</v>
      </c>
      <c r="Q106">
        <v>284322</v>
      </c>
      <c r="R106">
        <v>0</v>
      </c>
      <c r="S106">
        <v>2573180.9700000002</v>
      </c>
      <c r="T106">
        <v>8538127.6699999999</v>
      </c>
      <c r="U106">
        <v>7745337.9700000007</v>
      </c>
      <c r="V106">
        <v>252193</v>
      </c>
      <c r="W106">
        <v>0</v>
      </c>
      <c r="X106">
        <v>2742257.55</v>
      </c>
      <c r="Y106">
        <v>9082280.1500000004</v>
      </c>
      <c r="Z106">
        <v>9252139.5300000031</v>
      </c>
      <c r="AA106">
        <v>329436</v>
      </c>
      <c r="AB106">
        <v>0</v>
      </c>
      <c r="AC106">
        <v>2139522.44</v>
      </c>
      <c r="AD106">
        <v>9396493.4800000004</v>
      </c>
      <c r="AE106">
        <v>9914734.8300000001</v>
      </c>
      <c r="AF106">
        <v>343288</v>
      </c>
      <c r="AZ106">
        <v>1989</v>
      </c>
      <c r="BA106" t="s">
        <v>299</v>
      </c>
      <c r="BB106">
        <v>5450816.4000000004</v>
      </c>
      <c r="BC106">
        <v>5417569.0899999989</v>
      </c>
      <c r="BD106">
        <v>176342</v>
      </c>
      <c r="BG106">
        <v>1989</v>
      </c>
      <c r="BH106" t="s">
        <v>299</v>
      </c>
      <c r="BI106">
        <v>0</v>
      </c>
      <c r="BJ106">
        <v>616801.96</v>
      </c>
    </row>
    <row r="107" spans="1:62" x14ac:dyDescent="0.25">
      <c r="A107">
        <v>1989</v>
      </c>
      <c r="B107" t="s">
        <v>299</v>
      </c>
      <c r="C107">
        <v>12220.45</v>
      </c>
      <c r="D107">
        <v>625020.52</v>
      </c>
      <c r="E107">
        <v>4898766.43</v>
      </c>
      <c r="F107">
        <v>4973206.4499999993</v>
      </c>
      <c r="G107">
        <v>176747</v>
      </c>
      <c r="H107">
        <v>5472.2</v>
      </c>
      <c r="I107">
        <v>373512.78</v>
      </c>
      <c r="J107">
        <v>4855209.8899999997</v>
      </c>
      <c r="K107">
        <v>5079335.04</v>
      </c>
      <c r="L107">
        <v>196793</v>
      </c>
      <c r="M107">
        <v>0</v>
      </c>
      <c r="N107">
        <v>646290.19999999995</v>
      </c>
      <c r="O107">
        <v>5609489.6699999999</v>
      </c>
      <c r="P107">
        <v>5294943.45</v>
      </c>
      <c r="Q107">
        <v>197294</v>
      </c>
      <c r="R107">
        <v>0</v>
      </c>
      <c r="S107">
        <v>947981.42</v>
      </c>
      <c r="T107">
        <v>5587658.9800000004</v>
      </c>
      <c r="U107">
        <v>5264345.67</v>
      </c>
      <c r="V107">
        <v>176465</v>
      </c>
      <c r="W107">
        <v>0</v>
      </c>
      <c r="X107">
        <v>835028.15</v>
      </c>
      <c r="Y107">
        <v>5456087.9900000002</v>
      </c>
      <c r="Z107">
        <v>5580050.419999999</v>
      </c>
      <c r="AA107">
        <v>176342</v>
      </c>
      <c r="AB107">
        <v>0</v>
      </c>
      <c r="AC107">
        <v>831357.05</v>
      </c>
      <c r="AD107">
        <v>5450816.4000000004</v>
      </c>
      <c r="AE107">
        <v>5417569.0899999989</v>
      </c>
      <c r="AF107">
        <v>179708</v>
      </c>
      <c r="AZ107">
        <v>2007</v>
      </c>
      <c r="BA107" t="s">
        <v>300</v>
      </c>
      <c r="BB107">
        <v>8472531.4700000007</v>
      </c>
      <c r="BC107">
        <v>7878337.8899999997</v>
      </c>
      <c r="BD107">
        <v>267397</v>
      </c>
      <c r="BG107">
        <v>2007</v>
      </c>
      <c r="BH107" t="s">
        <v>300</v>
      </c>
      <c r="BI107">
        <v>4929.6499999999996</v>
      </c>
      <c r="BJ107">
        <v>2046513.32</v>
      </c>
    </row>
    <row r="108" spans="1:62" x14ac:dyDescent="0.25">
      <c r="A108">
        <v>2007</v>
      </c>
      <c r="B108" t="s">
        <v>300</v>
      </c>
      <c r="C108">
        <v>0</v>
      </c>
      <c r="D108">
        <v>-224772.48000000001</v>
      </c>
      <c r="E108">
        <v>7722652.0999999996</v>
      </c>
      <c r="F108">
        <v>7557483.1899999995</v>
      </c>
      <c r="G108">
        <v>245434</v>
      </c>
      <c r="H108">
        <v>0</v>
      </c>
      <c r="I108">
        <v>-201798.01</v>
      </c>
      <c r="J108">
        <v>8372016.7300000004</v>
      </c>
      <c r="K108">
        <v>8193697.7400000002</v>
      </c>
      <c r="L108">
        <v>288369</v>
      </c>
      <c r="M108">
        <v>0</v>
      </c>
      <c r="N108">
        <v>100330.65</v>
      </c>
      <c r="O108">
        <v>8570632.4299999997</v>
      </c>
      <c r="P108">
        <v>8264997.0199999986</v>
      </c>
      <c r="Q108">
        <v>292146</v>
      </c>
      <c r="R108">
        <v>1710</v>
      </c>
      <c r="S108">
        <v>959052.4</v>
      </c>
      <c r="T108">
        <v>8558841.9199999999</v>
      </c>
      <c r="U108">
        <v>7688004.4300000006</v>
      </c>
      <c r="V108">
        <v>275656</v>
      </c>
      <c r="W108">
        <v>1710</v>
      </c>
      <c r="X108">
        <v>1359883.44</v>
      </c>
      <c r="Y108">
        <v>8288266.1399999997</v>
      </c>
      <c r="Z108">
        <v>7922575.4499999993</v>
      </c>
      <c r="AA108">
        <v>267397</v>
      </c>
      <c r="AB108">
        <v>681.45</v>
      </c>
      <c r="AC108">
        <v>1917201.07</v>
      </c>
      <c r="AD108">
        <v>8472531.4700000007</v>
      </c>
      <c r="AE108">
        <v>7878337.8899999997</v>
      </c>
      <c r="AF108">
        <v>292182</v>
      </c>
      <c r="AZ108">
        <v>2088</v>
      </c>
      <c r="BA108" t="s">
        <v>301</v>
      </c>
      <c r="BB108">
        <v>7926733.4900000002</v>
      </c>
      <c r="BC108">
        <v>8133983.9400000013</v>
      </c>
      <c r="BD108">
        <v>274948</v>
      </c>
      <c r="BG108">
        <v>2088</v>
      </c>
      <c r="BH108" t="s">
        <v>301</v>
      </c>
      <c r="BI108">
        <v>0</v>
      </c>
      <c r="BJ108">
        <v>1396519.66</v>
      </c>
    </row>
    <row r="109" spans="1:62" x14ac:dyDescent="0.25">
      <c r="A109">
        <v>2088</v>
      </c>
      <c r="B109" t="s">
        <v>301</v>
      </c>
      <c r="C109">
        <v>0</v>
      </c>
      <c r="D109">
        <v>-124312.45</v>
      </c>
      <c r="E109">
        <v>6381516.4000000004</v>
      </c>
      <c r="F109">
        <v>6921585.9099999992</v>
      </c>
      <c r="G109">
        <v>252057</v>
      </c>
      <c r="H109">
        <v>0</v>
      </c>
      <c r="I109">
        <v>329061.14</v>
      </c>
      <c r="J109">
        <v>7274035.6600000001</v>
      </c>
      <c r="K109">
        <v>6744517.2100000009</v>
      </c>
      <c r="L109">
        <v>296572</v>
      </c>
      <c r="M109">
        <v>0</v>
      </c>
      <c r="N109">
        <v>867565.75</v>
      </c>
      <c r="O109">
        <v>7723413.8300000001</v>
      </c>
      <c r="P109">
        <v>7162944.04</v>
      </c>
      <c r="Q109">
        <v>297748</v>
      </c>
      <c r="R109">
        <v>0</v>
      </c>
      <c r="S109">
        <v>1129197.45</v>
      </c>
      <c r="T109">
        <v>7528676.6100000003</v>
      </c>
      <c r="U109">
        <v>7259540.0099999998</v>
      </c>
      <c r="V109">
        <v>272363</v>
      </c>
      <c r="W109">
        <v>0</v>
      </c>
      <c r="X109">
        <v>1242966.6100000001</v>
      </c>
      <c r="Y109">
        <v>7807816.7000000002</v>
      </c>
      <c r="Z109">
        <v>7600767.3199999994</v>
      </c>
      <c r="AA109">
        <v>274948</v>
      </c>
      <c r="AB109">
        <v>0</v>
      </c>
      <c r="AC109">
        <v>1078513.22</v>
      </c>
      <c r="AD109">
        <v>7926733.4900000002</v>
      </c>
      <c r="AE109">
        <v>8133983.9400000013</v>
      </c>
      <c r="AF109">
        <v>284616</v>
      </c>
      <c r="AZ109">
        <v>2097</v>
      </c>
      <c r="BA109" t="s">
        <v>603</v>
      </c>
      <c r="BB109">
        <v>5219026.88</v>
      </c>
      <c r="BC109">
        <v>5930905.0199999996</v>
      </c>
      <c r="BD109">
        <v>204871</v>
      </c>
      <c r="BG109">
        <v>2097</v>
      </c>
      <c r="BH109" t="s">
        <v>603</v>
      </c>
      <c r="BI109">
        <v>0</v>
      </c>
      <c r="BJ109">
        <v>-287991.53999999998</v>
      </c>
    </row>
    <row r="110" spans="1:62" x14ac:dyDescent="0.25">
      <c r="A110">
        <v>2097</v>
      </c>
      <c r="B110" t="s">
        <v>302</v>
      </c>
      <c r="C110">
        <v>0</v>
      </c>
      <c r="D110">
        <v>120119.45</v>
      </c>
      <c r="E110">
        <v>4784503.17</v>
      </c>
      <c r="F110">
        <v>4832345.5599999996</v>
      </c>
      <c r="G110">
        <v>157708</v>
      </c>
      <c r="H110">
        <v>0</v>
      </c>
      <c r="I110">
        <v>306483.37</v>
      </c>
      <c r="J110">
        <v>5581993.3899999997</v>
      </c>
      <c r="K110">
        <v>5293069.08</v>
      </c>
      <c r="L110">
        <v>229464</v>
      </c>
      <c r="M110">
        <v>0</v>
      </c>
      <c r="N110">
        <v>741644.46</v>
      </c>
      <c r="O110">
        <v>5942399.5300000003</v>
      </c>
      <c r="P110">
        <v>5418759.8700000001</v>
      </c>
      <c r="Q110">
        <v>232991</v>
      </c>
      <c r="R110">
        <v>0</v>
      </c>
      <c r="S110">
        <v>1300669.45</v>
      </c>
      <c r="T110">
        <v>5995243.1799999997</v>
      </c>
      <c r="U110">
        <v>5517297.1700000009</v>
      </c>
      <c r="V110">
        <v>207964</v>
      </c>
      <c r="W110">
        <v>0</v>
      </c>
      <c r="X110">
        <v>1162369.77</v>
      </c>
      <c r="Y110">
        <v>5531508.5700000003</v>
      </c>
      <c r="Z110">
        <v>5715932.8900000006</v>
      </c>
      <c r="AA110">
        <v>204871</v>
      </c>
      <c r="AB110">
        <v>0</v>
      </c>
      <c r="AC110">
        <v>457679.96</v>
      </c>
      <c r="AD110">
        <v>5219026.88</v>
      </c>
      <c r="AE110">
        <v>5930905.0199999996</v>
      </c>
      <c r="AF110">
        <v>208810</v>
      </c>
      <c r="AZ110">
        <v>2113</v>
      </c>
      <c r="BA110" t="s">
        <v>303</v>
      </c>
      <c r="BB110">
        <v>2736454.23</v>
      </c>
      <c r="BC110">
        <v>2854960.2299999995</v>
      </c>
      <c r="BD110">
        <v>90334</v>
      </c>
      <c r="BG110">
        <v>2113</v>
      </c>
      <c r="BH110" t="s">
        <v>303</v>
      </c>
      <c r="BI110">
        <v>0</v>
      </c>
      <c r="BJ110">
        <v>418767.46</v>
      </c>
    </row>
    <row r="111" spans="1:62" x14ac:dyDescent="0.25">
      <c r="A111">
        <v>2113</v>
      </c>
      <c r="B111" t="s">
        <v>303</v>
      </c>
      <c r="C111">
        <v>6924.92</v>
      </c>
      <c r="D111">
        <v>459760.26</v>
      </c>
      <c r="E111">
        <v>2611722.4700000002</v>
      </c>
      <c r="F111">
        <v>2573599.5700000003</v>
      </c>
      <c r="G111">
        <v>96514</v>
      </c>
      <c r="H111">
        <v>4511.4799999999996</v>
      </c>
      <c r="I111">
        <v>376105.89</v>
      </c>
      <c r="J111">
        <v>2517938.0299999998</v>
      </c>
      <c r="K111">
        <v>2597870.3099999996</v>
      </c>
      <c r="L111">
        <v>100586</v>
      </c>
      <c r="M111">
        <v>0</v>
      </c>
      <c r="N111">
        <v>425253.93</v>
      </c>
      <c r="O111">
        <v>2604257.6</v>
      </c>
      <c r="P111">
        <v>2540187.3600000003</v>
      </c>
      <c r="Q111">
        <v>101583</v>
      </c>
      <c r="R111">
        <v>0</v>
      </c>
      <c r="S111">
        <v>493724.05</v>
      </c>
      <c r="T111">
        <v>2725526.11</v>
      </c>
      <c r="U111">
        <v>2694792.7200000007</v>
      </c>
      <c r="V111">
        <v>90907</v>
      </c>
      <c r="W111">
        <v>0</v>
      </c>
      <c r="X111">
        <v>365644.84</v>
      </c>
      <c r="Y111">
        <v>2640171.42</v>
      </c>
      <c r="Z111">
        <v>2788085.73</v>
      </c>
      <c r="AA111">
        <v>90334</v>
      </c>
      <c r="AB111">
        <v>0</v>
      </c>
      <c r="AC111">
        <v>214208.51</v>
      </c>
      <c r="AD111">
        <v>2736454.23</v>
      </c>
      <c r="AE111">
        <v>2854960.2299999995</v>
      </c>
      <c r="AF111">
        <v>91667</v>
      </c>
      <c r="AZ111">
        <v>2124</v>
      </c>
      <c r="BA111" t="s">
        <v>304</v>
      </c>
      <c r="BB111">
        <v>13866018.85</v>
      </c>
      <c r="BC111">
        <v>13807375.780000001</v>
      </c>
      <c r="BD111">
        <v>538589</v>
      </c>
      <c r="BG111">
        <v>2124</v>
      </c>
      <c r="BH111" t="s">
        <v>304</v>
      </c>
      <c r="BI111">
        <v>0</v>
      </c>
      <c r="BJ111">
        <v>1834093.8</v>
      </c>
    </row>
    <row r="112" spans="1:62" x14ac:dyDescent="0.25">
      <c r="A112">
        <v>2124</v>
      </c>
      <c r="B112" t="s">
        <v>304</v>
      </c>
      <c r="C112">
        <v>0</v>
      </c>
      <c r="D112">
        <v>970665.49</v>
      </c>
      <c r="E112">
        <v>13212722.16</v>
      </c>
      <c r="F112">
        <v>12881441.209999999</v>
      </c>
      <c r="G112">
        <v>495760</v>
      </c>
      <c r="H112">
        <v>0</v>
      </c>
      <c r="I112">
        <v>760208.86</v>
      </c>
      <c r="J112">
        <v>13153160.890000001</v>
      </c>
      <c r="K112">
        <v>13293546.010000004</v>
      </c>
      <c r="L112">
        <v>556771</v>
      </c>
      <c r="M112">
        <v>0</v>
      </c>
      <c r="N112">
        <v>1346910.9</v>
      </c>
      <c r="O112">
        <v>14108758.710000001</v>
      </c>
      <c r="P112">
        <v>13558675.069999998</v>
      </c>
      <c r="Q112">
        <v>574869</v>
      </c>
      <c r="R112">
        <v>0</v>
      </c>
      <c r="S112">
        <v>1351348.02</v>
      </c>
      <c r="T112">
        <v>13398392.130000001</v>
      </c>
      <c r="U112">
        <v>13242822.830000002</v>
      </c>
      <c r="V112">
        <v>519919</v>
      </c>
      <c r="W112">
        <v>0</v>
      </c>
      <c r="X112">
        <v>1582074.97</v>
      </c>
      <c r="Y112">
        <v>13579429.82</v>
      </c>
      <c r="Z112">
        <v>13313718.440000001</v>
      </c>
      <c r="AA112">
        <v>538589</v>
      </c>
      <c r="AB112">
        <v>0</v>
      </c>
      <c r="AC112">
        <v>1598191.31</v>
      </c>
      <c r="AD112">
        <v>13866018.85</v>
      </c>
      <c r="AE112">
        <v>13807375.780000001</v>
      </c>
      <c r="AF112">
        <v>559942</v>
      </c>
      <c r="AZ112">
        <v>2151</v>
      </c>
      <c r="BA112" t="s">
        <v>305</v>
      </c>
      <c r="BB112">
        <v>3366084.38</v>
      </c>
      <c r="BC112">
        <v>2883226.6999999997</v>
      </c>
      <c r="BD112">
        <v>92259</v>
      </c>
      <c r="BG112">
        <v>2151</v>
      </c>
      <c r="BH112" t="s">
        <v>305</v>
      </c>
      <c r="BI112">
        <v>0</v>
      </c>
      <c r="BJ112">
        <v>1655699.71</v>
      </c>
    </row>
    <row r="113" spans="1:62" x14ac:dyDescent="0.25">
      <c r="A113">
        <v>2151</v>
      </c>
      <c r="B113" t="s">
        <v>305</v>
      </c>
      <c r="C113">
        <v>0</v>
      </c>
      <c r="D113">
        <v>-652431.6</v>
      </c>
      <c r="E113">
        <v>2807912.54</v>
      </c>
      <c r="F113">
        <v>3095514.0100000007</v>
      </c>
      <c r="G113">
        <v>103200</v>
      </c>
      <c r="H113">
        <v>0</v>
      </c>
      <c r="I113">
        <v>-759063.36</v>
      </c>
      <c r="J113">
        <v>2902892.4</v>
      </c>
      <c r="K113">
        <v>2890753.75</v>
      </c>
      <c r="L113">
        <v>107475</v>
      </c>
      <c r="M113">
        <v>0</v>
      </c>
      <c r="N113">
        <v>-557017.44999999995</v>
      </c>
      <c r="O113">
        <v>3088936.23</v>
      </c>
      <c r="P113">
        <v>2789436.2399999998</v>
      </c>
      <c r="Q113">
        <v>107676</v>
      </c>
      <c r="R113">
        <v>0</v>
      </c>
      <c r="S113">
        <v>-29481.57</v>
      </c>
      <c r="T113">
        <v>3635013.89</v>
      </c>
      <c r="U113">
        <v>3120985.1799999997</v>
      </c>
      <c r="V113">
        <v>93721</v>
      </c>
      <c r="W113">
        <v>0</v>
      </c>
      <c r="X113">
        <v>589201.46</v>
      </c>
      <c r="Y113">
        <v>3355538.28</v>
      </c>
      <c r="Z113">
        <v>2811803.52</v>
      </c>
      <c r="AA113">
        <v>92259</v>
      </c>
      <c r="AB113">
        <v>0</v>
      </c>
      <c r="AC113">
        <v>1063094.08</v>
      </c>
      <c r="AD113">
        <v>3366084.38</v>
      </c>
      <c r="AE113">
        <v>2883226.6999999997</v>
      </c>
      <c r="AF113">
        <v>95158</v>
      </c>
      <c r="AZ113">
        <v>2169</v>
      </c>
      <c r="BA113" t="s">
        <v>306</v>
      </c>
      <c r="BB113">
        <v>19062420.949999999</v>
      </c>
      <c r="BC113">
        <v>18163877.049999997</v>
      </c>
      <c r="BD113">
        <v>662475</v>
      </c>
      <c r="BG113">
        <v>2169</v>
      </c>
      <c r="BH113" t="s">
        <v>306</v>
      </c>
      <c r="BI113">
        <v>0</v>
      </c>
      <c r="BJ113">
        <v>3947893.37</v>
      </c>
    </row>
    <row r="114" spans="1:62" x14ac:dyDescent="0.25">
      <c r="A114">
        <v>2169</v>
      </c>
      <c r="B114" t="s">
        <v>306</v>
      </c>
      <c r="C114">
        <v>0</v>
      </c>
      <c r="D114">
        <v>-62479.31</v>
      </c>
      <c r="E114">
        <v>17032487.120000001</v>
      </c>
      <c r="F114">
        <v>18056726.580000002</v>
      </c>
      <c r="G114">
        <v>682351</v>
      </c>
      <c r="H114">
        <v>0</v>
      </c>
      <c r="I114">
        <v>-996159.53</v>
      </c>
      <c r="J114">
        <v>16986920.82</v>
      </c>
      <c r="K114">
        <v>17819270.050000001</v>
      </c>
      <c r="L114">
        <v>732377</v>
      </c>
      <c r="M114">
        <v>0</v>
      </c>
      <c r="N114">
        <v>-169872.17</v>
      </c>
      <c r="O114">
        <v>18681634.879999999</v>
      </c>
      <c r="P114">
        <v>17759883.600000001</v>
      </c>
      <c r="Q114">
        <v>734999</v>
      </c>
      <c r="R114">
        <v>0</v>
      </c>
      <c r="S114">
        <v>1659468.73</v>
      </c>
      <c r="T114">
        <v>18919275.879999999</v>
      </c>
      <c r="U114">
        <v>16984035.5</v>
      </c>
      <c r="V114">
        <v>658723</v>
      </c>
      <c r="W114">
        <v>0</v>
      </c>
      <c r="X114">
        <v>3521391.81</v>
      </c>
      <c r="Y114">
        <v>19311454.940000001</v>
      </c>
      <c r="Z114">
        <v>17425892.649999999</v>
      </c>
      <c r="AA114">
        <v>662475</v>
      </c>
      <c r="AB114">
        <v>0</v>
      </c>
      <c r="AC114">
        <v>4580389.88</v>
      </c>
      <c r="AD114">
        <v>19062420.949999999</v>
      </c>
      <c r="AE114">
        <v>18163877.049999997</v>
      </c>
      <c r="AF114">
        <v>688171</v>
      </c>
      <c r="AZ114">
        <v>2295</v>
      </c>
      <c r="BA114" t="s">
        <v>308</v>
      </c>
      <c r="BB114">
        <v>13396969.529999999</v>
      </c>
      <c r="BC114">
        <v>13523681.1</v>
      </c>
      <c r="BD114">
        <v>456855</v>
      </c>
      <c r="BG114">
        <v>2295</v>
      </c>
      <c r="BH114" t="s">
        <v>308</v>
      </c>
      <c r="BI114">
        <v>0</v>
      </c>
      <c r="BJ114">
        <v>1803408.54</v>
      </c>
    </row>
    <row r="115" spans="1:62" x14ac:dyDescent="0.25">
      <c r="A115">
        <v>2205</v>
      </c>
      <c r="B115" t="s">
        <v>307</v>
      </c>
      <c r="C115">
        <v>598.94000000000005</v>
      </c>
      <c r="D115">
        <v>166918.01</v>
      </c>
      <c r="E115">
        <v>2787301.16</v>
      </c>
      <c r="F115">
        <v>2687122.23</v>
      </c>
      <c r="G115">
        <v>94294</v>
      </c>
      <c r="H115">
        <v>12000</v>
      </c>
      <c r="I115">
        <v>76360.23</v>
      </c>
      <c r="J115">
        <v>3000901.5</v>
      </c>
      <c r="K115">
        <v>3077019.9</v>
      </c>
      <c r="L115">
        <v>102458</v>
      </c>
      <c r="M115">
        <v>12000</v>
      </c>
      <c r="N115">
        <v>47422.52</v>
      </c>
      <c r="O115">
        <v>2988992.61</v>
      </c>
      <c r="P115">
        <v>2996618.5</v>
      </c>
      <c r="Q115">
        <v>101997</v>
      </c>
      <c r="R115">
        <v>0</v>
      </c>
      <c r="S115">
        <v>-176877.35</v>
      </c>
      <c r="T115">
        <v>3822886.44</v>
      </c>
      <c r="U115">
        <v>4017694.71</v>
      </c>
      <c r="V115">
        <v>86834</v>
      </c>
      <c r="W115">
        <v>0</v>
      </c>
      <c r="X115">
        <v>-311565.3</v>
      </c>
      <c r="Y115">
        <v>3413086.08</v>
      </c>
      <c r="Z115">
        <v>3504892.6399999997</v>
      </c>
      <c r="AA115">
        <v>86959</v>
      </c>
      <c r="AB115">
        <v>0</v>
      </c>
      <c r="AC115">
        <v>318850.67</v>
      </c>
      <c r="AD115">
        <v>3735915.66</v>
      </c>
      <c r="AE115">
        <v>3143729.1299999994</v>
      </c>
      <c r="AF115">
        <v>89362</v>
      </c>
      <c r="AZ115">
        <v>2313</v>
      </c>
      <c r="BA115" t="s">
        <v>309</v>
      </c>
      <c r="BB115">
        <v>39264225.390000001</v>
      </c>
      <c r="BC115">
        <v>38973201.710000001</v>
      </c>
      <c r="BD115">
        <v>1589663</v>
      </c>
      <c r="BG115">
        <v>2313</v>
      </c>
      <c r="BH115" t="s">
        <v>309</v>
      </c>
      <c r="BI115">
        <v>0</v>
      </c>
      <c r="BJ115">
        <v>8664796.6099999994</v>
      </c>
    </row>
    <row r="116" spans="1:62" x14ac:dyDescent="0.25">
      <c r="A116">
        <v>2295</v>
      </c>
      <c r="B116" t="s">
        <v>308</v>
      </c>
      <c r="C116">
        <v>0</v>
      </c>
      <c r="D116">
        <v>202179.55</v>
      </c>
      <c r="E116">
        <v>12028507.869999999</v>
      </c>
      <c r="F116">
        <v>11832332.220000003</v>
      </c>
      <c r="G116">
        <v>457736</v>
      </c>
      <c r="H116">
        <v>0</v>
      </c>
      <c r="I116">
        <v>404891.1</v>
      </c>
      <c r="J116">
        <v>12285807.050000001</v>
      </c>
      <c r="K116">
        <v>11883739.949999997</v>
      </c>
      <c r="L116">
        <v>537820</v>
      </c>
      <c r="M116">
        <v>0</v>
      </c>
      <c r="N116">
        <v>1119146.25</v>
      </c>
      <c r="O116">
        <v>13098491.41</v>
      </c>
      <c r="P116">
        <v>12340524.49</v>
      </c>
      <c r="Q116">
        <v>531812</v>
      </c>
      <c r="R116">
        <v>0</v>
      </c>
      <c r="S116">
        <v>1464897.11</v>
      </c>
      <c r="T116">
        <v>12753297.5</v>
      </c>
      <c r="U116">
        <v>12318049.18</v>
      </c>
      <c r="V116">
        <v>474060</v>
      </c>
      <c r="W116">
        <v>0</v>
      </c>
      <c r="X116">
        <v>1509864.57</v>
      </c>
      <c r="Y116">
        <v>12817303.52</v>
      </c>
      <c r="Z116">
        <v>12854869.159999996</v>
      </c>
      <c r="AA116">
        <v>456855</v>
      </c>
      <c r="AB116">
        <v>0</v>
      </c>
      <c r="AC116">
        <v>1813996.74</v>
      </c>
      <c r="AD116">
        <v>13396969.529999999</v>
      </c>
      <c r="AE116">
        <v>13523681.1</v>
      </c>
      <c r="AF116">
        <v>518518</v>
      </c>
      <c r="AZ116">
        <v>2322</v>
      </c>
      <c r="BA116" t="s">
        <v>310</v>
      </c>
      <c r="BB116">
        <v>20874143.27</v>
      </c>
      <c r="BC116">
        <v>22315105.479999997</v>
      </c>
      <c r="BD116">
        <v>894217</v>
      </c>
      <c r="BG116">
        <v>2322</v>
      </c>
      <c r="BH116" t="s">
        <v>310</v>
      </c>
      <c r="BI116">
        <v>0</v>
      </c>
      <c r="BJ116">
        <v>748473.06</v>
      </c>
    </row>
    <row r="117" spans="1:62" x14ac:dyDescent="0.25">
      <c r="A117">
        <v>2313</v>
      </c>
      <c r="B117" t="s">
        <v>309</v>
      </c>
      <c r="C117">
        <v>0</v>
      </c>
      <c r="D117">
        <v>4387726.32</v>
      </c>
      <c r="E117">
        <v>39282155.049999997</v>
      </c>
      <c r="F117">
        <v>38926482.829999998</v>
      </c>
      <c r="G117">
        <v>1559569</v>
      </c>
      <c r="H117">
        <v>0</v>
      </c>
      <c r="I117">
        <v>4045369.57</v>
      </c>
      <c r="J117">
        <v>39059095.210000001</v>
      </c>
      <c r="K117">
        <v>38795014.340000011</v>
      </c>
      <c r="L117">
        <v>1744044</v>
      </c>
      <c r="M117">
        <v>0</v>
      </c>
      <c r="N117">
        <v>5055806.0999999996</v>
      </c>
      <c r="O117">
        <v>40747104.259999998</v>
      </c>
      <c r="P117">
        <v>39418263.539999999</v>
      </c>
      <c r="Q117">
        <v>1748108</v>
      </c>
      <c r="R117">
        <v>0</v>
      </c>
      <c r="S117">
        <v>6731040.3799999999</v>
      </c>
      <c r="T117">
        <v>40922151.920000002</v>
      </c>
      <c r="U117">
        <v>38963783.329999998</v>
      </c>
      <c r="V117">
        <v>1573604</v>
      </c>
      <c r="W117">
        <v>0</v>
      </c>
      <c r="X117">
        <v>6980392.7800000003</v>
      </c>
      <c r="Y117">
        <v>38574097.75</v>
      </c>
      <c r="Z117">
        <v>38474604.100000009</v>
      </c>
      <c r="AA117">
        <v>1589663</v>
      </c>
      <c r="AB117">
        <v>0</v>
      </c>
      <c r="AC117">
        <v>7669304.1399999997</v>
      </c>
      <c r="AD117">
        <v>39264225.390000001</v>
      </c>
      <c r="AE117">
        <v>38973201.710000001</v>
      </c>
      <c r="AF117">
        <v>1647708</v>
      </c>
      <c r="AZ117">
        <v>2369</v>
      </c>
      <c r="BA117" t="s">
        <v>311</v>
      </c>
      <c r="BB117">
        <v>4962124.88</v>
      </c>
      <c r="BC117">
        <v>4940047.33</v>
      </c>
      <c r="BD117">
        <v>167133</v>
      </c>
      <c r="BG117">
        <v>2369</v>
      </c>
      <c r="BH117" t="s">
        <v>311</v>
      </c>
      <c r="BI117">
        <v>0</v>
      </c>
      <c r="BJ117">
        <v>1344075.92</v>
      </c>
    </row>
    <row r="118" spans="1:62" x14ac:dyDescent="0.25">
      <c r="A118">
        <v>2322</v>
      </c>
      <c r="B118" t="s">
        <v>310</v>
      </c>
      <c r="C118">
        <v>0</v>
      </c>
      <c r="D118">
        <v>1086467.6499999999</v>
      </c>
      <c r="E118">
        <v>21057398.050000001</v>
      </c>
      <c r="F118">
        <v>21285482.800000001</v>
      </c>
      <c r="G118">
        <v>887992</v>
      </c>
      <c r="H118">
        <v>0</v>
      </c>
      <c r="I118">
        <v>1440077.7</v>
      </c>
      <c r="J118">
        <v>21392823.890000001</v>
      </c>
      <c r="K118">
        <v>21000109.390000001</v>
      </c>
      <c r="L118">
        <v>1003331</v>
      </c>
      <c r="M118">
        <v>0</v>
      </c>
      <c r="N118">
        <v>2697420.38</v>
      </c>
      <c r="O118">
        <v>22121263.629999999</v>
      </c>
      <c r="P118">
        <v>20811756.579999998</v>
      </c>
      <c r="Q118">
        <v>1000871</v>
      </c>
      <c r="R118">
        <v>0</v>
      </c>
      <c r="S118">
        <v>3937271.76</v>
      </c>
      <c r="T118">
        <v>21755584.719999999</v>
      </c>
      <c r="U118">
        <v>20502092.57</v>
      </c>
      <c r="V118">
        <v>897030</v>
      </c>
      <c r="W118">
        <v>0</v>
      </c>
      <c r="X118">
        <v>3490477.03</v>
      </c>
      <c r="Y118">
        <v>20962579.98</v>
      </c>
      <c r="Z118">
        <v>21488867.970000003</v>
      </c>
      <c r="AA118">
        <v>894217</v>
      </c>
      <c r="AB118">
        <v>0</v>
      </c>
      <c r="AC118">
        <v>1944983.89</v>
      </c>
      <c r="AD118">
        <v>20874143.27</v>
      </c>
      <c r="AE118">
        <v>22315105.479999997</v>
      </c>
      <c r="AF118">
        <v>930390</v>
      </c>
      <c r="AZ118">
        <v>2376</v>
      </c>
      <c r="BA118" t="s">
        <v>313</v>
      </c>
      <c r="BB118">
        <v>5309226.53</v>
      </c>
      <c r="BC118">
        <v>5452595.5800000001</v>
      </c>
      <c r="BD118">
        <v>163419</v>
      </c>
      <c r="BG118">
        <v>2376</v>
      </c>
      <c r="BH118" t="s">
        <v>313</v>
      </c>
      <c r="BI118">
        <v>0</v>
      </c>
      <c r="BJ118">
        <v>441088.58</v>
      </c>
    </row>
    <row r="119" spans="1:62" x14ac:dyDescent="0.25">
      <c r="A119">
        <v>2369</v>
      </c>
      <c r="B119" t="s">
        <v>311</v>
      </c>
      <c r="C119">
        <v>0</v>
      </c>
      <c r="D119">
        <v>517329.58</v>
      </c>
      <c r="E119">
        <v>4470894.0599999996</v>
      </c>
      <c r="F119">
        <v>4160605.5599999996</v>
      </c>
      <c r="G119">
        <v>168022</v>
      </c>
      <c r="H119">
        <v>0</v>
      </c>
      <c r="I119">
        <v>865711.56</v>
      </c>
      <c r="J119">
        <v>4516366.26</v>
      </c>
      <c r="K119">
        <v>4002316.1800000006</v>
      </c>
      <c r="L119">
        <v>187488</v>
      </c>
      <c r="M119">
        <v>0</v>
      </c>
      <c r="N119">
        <v>1563403.36</v>
      </c>
      <c r="O119">
        <v>4872848.5</v>
      </c>
      <c r="P119">
        <v>4022723.5400000005</v>
      </c>
      <c r="Q119">
        <v>186662</v>
      </c>
      <c r="R119">
        <v>0</v>
      </c>
      <c r="S119">
        <v>1646308.66</v>
      </c>
      <c r="T119">
        <v>4337210.28</v>
      </c>
      <c r="U119">
        <v>4207022.7600000007</v>
      </c>
      <c r="V119">
        <v>166781</v>
      </c>
      <c r="W119">
        <v>0</v>
      </c>
      <c r="X119">
        <v>1429152.44</v>
      </c>
      <c r="Y119">
        <v>4484157.59</v>
      </c>
      <c r="Z119">
        <v>4808915.1800000006</v>
      </c>
      <c r="AA119">
        <v>167133</v>
      </c>
      <c r="AB119">
        <v>0</v>
      </c>
      <c r="AC119">
        <v>1231405.93</v>
      </c>
      <c r="AD119">
        <v>4962124.88</v>
      </c>
      <c r="AE119">
        <v>4940047.33</v>
      </c>
      <c r="AF119">
        <v>177422</v>
      </c>
      <c r="AZ119">
        <v>2403</v>
      </c>
      <c r="BA119" t="s">
        <v>314</v>
      </c>
      <c r="BB119">
        <v>10037991.77</v>
      </c>
      <c r="BC119">
        <v>9717023.7400000002</v>
      </c>
      <c r="BD119">
        <v>299391</v>
      </c>
      <c r="BG119">
        <v>2403</v>
      </c>
      <c r="BH119" t="s">
        <v>314</v>
      </c>
      <c r="BI119">
        <v>0</v>
      </c>
      <c r="BJ119">
        <v>914889.53</v>
      </c>
    </row>
    <row r="120" spans="1:62" x14ac:dyDescent="0.25">
      <c r="A120">
        <v>2682</v>
      </c>
      <c r="B120" t="s">
        <v>312</v>
      </c>
      <c r="C120">
        <v>0</v>
      </c>
      <c r="D120">
        <v>885504.32</v>
      </c>
      <c r="E120">
        <v>4340700.5599999996</v>
      </c>
      <c r="F120">
        <v>4288573.3000000007</v>
      </c>
      <c r="G120">
        <v>121637</v>
      </c>
      <c r="H120">
        <v>0</v>
      </c>
      <c r="I120">
        <v>723286.41</v>
      </c>
      <c r="J120">
        <v>4279209.62</v>
      </c>
      <c r="K120">
        <v>4388699.2700000005</v>
      </c>
      <c r="L120">
        <v>147736</v>
      </c>
      <c r="M120">
        <v>0</v>
      </c>
      <c r="N120">
        <v>703718.79</v>
      </c>
      <c r="O120">
        <v>4691821.1900000004</v>
      </c>
      <c r="P120">
        <v>4763188.82</v>
      </c>
      <c r="Q120">
        <v>153840</v>
      </c>
      <c r="R120">
        <v>0</v>
      </c>
      <c r="S120">
        <v>696605.9</v>
      </c>
      <c r="T120">
        <v>4569031.01</v>
      </c>
      <c r="U120">
        <v>4564762.8499999996</v>
      </c>
      <c r="V120">
        <v>137438</v>
      </c>
      <c r="W120">
        <v>0</v>
      </c>
      <c r="X120">
        <v>650270.80000000005</v>
      </c>
      <c r="Y120">
        <v>4372827.68</v>
      </c>
      <c r="Z120">
        <v>4424310.4099999992</v>
      </c>
      <c r="AA120">
        <v>131854</v>
      </c>
      <c r="AB120">
        <v>0</v>
      </c>
      <c r="AC120">
        <v>788733.03</v>
      </c>
      <c r="AD120">
        <v>4665190</v>
      </c>
      <c r="AE120">
        <v>4512191.45</v>
      </c>
      <c r="AF120">
        <v>135941</v>
      </c>
      <c r="AZ120">
        <v>2457</v>
      </c>
      <c r="BA120" t="s">
        <v>315</v>
      </c>
      <c r="BB120">
        <v>4660678.21</v>
      </c>
      <c r="BC120">
        <v>4659181.2899999991</v>
      </c>
      <c r="BD120">
        <v>182772</v>
      </c>
      <c r="BG120">
        <v>2457</v>
      </c>
      <c r="BH120" t="s">
        <v>315</v>
      </c>
      <c r="BI120">
        <v>583146.48</v>
      </c>
      <c r="BJ120">
        <v>499219.09</v>
      </c>
    </row>
    <row r="121" spans="1:62" x14ac:dyDescent="0.25">
      <c r="A121">
        <v>2376</v>
      </c>
      <c r="B121" t="s">
        <v>313</v>
      </c>
      <c r="C121">
        <v>0</v>
      </c>
      <c r="D121">
        <v>1163607.6200000001</v>
      </c>
      <c r="E121">
        <v>3968709.72</v>
      </c>
      <c r="F121">
        <v>4060144.0400000005</v>
      </c>
      <c r="G121">
        <v>170206</v>
      </c>
      <c r="H121">
        <v>0</v>
      </c>
      <c r="I121">
        <v>818717.06</v>
      </c>
      <c r="J121">
        <v>3891670.53</v>
      </c>
      <c r="K121">
        <v>4192186.6599999997</v>
      </c>
      <c r="L121">
        <v>182079</v>
      </c>
      <c r="M121">
        <v>0</v>
      </c>
      <c r="N121">
        <v>728243.72</v>
      </c>
      <c r="O121">
        <v>4747332.28</v>
      </c>
      <c r="P121">
        <v>4784841.71</v>
      </c>
      <c r="Q121">
        <v>181962</v>
      </c>
      <c r="R121">
        <v>0</v>
      </c>
      <c r="S121">
        <v>463860.91</v>
      </c>
      <c r="T121">
        <v>5119498.3</v>
      </c>
      <c r="U121">
        <v>5383516.0600000005</v>
      </c>
      <c r="V121">
        <v>163357</v>
      </c>
      <c r="W121">
        <v>0</v>
      </c>
      <c r="X121">
        <v>517477.66</v>
      </c>
      <c r="Y121">
        <v>5243769.29</v>
      </c>
      <c r="Z121">
        <v>5168724.1399999997</v>
      </c>
      <c r="AA121">
        <v>163419</v>
      </c>
      <c r="AB121">
        <v>0</v>
      </c>
      <c r="AC121">
        <v>354351.31</v>
      </c>
      <c r="AD121">
        <v>5309226.53</v>
      </c>
      <c r="AE121">
        <v>5452595.5800000001</v>
      </c>
      <c r="AF121">
        <v>171099</v>
      </c>
      <c r="AZ121">
        <v>2466</v>
      </c>
      <c r="BA121" t="s">
        <v>316</v>
      </c>
      <c r="BB121">
        <v>12828536.34</v>
      </c>
      <c r="BC121">
        <v>14054641.840000002</v>
      </c>
      <c r="BD121">
        <v>460602</v>
      </c>
      <c r="BG121">
        <v>2466</v>
      </c>
      <c r="BH121" t="s">
        <v>316</v>
      </c>
      <c r="BI121">
        <v>0</v>
      </c>
      <c r="BJ121">
        <v>167261.96</v>
      </c>
    </row>
    <row r="122" spans="1:62" x14ac:dyDescent="0.25">
      <c r="A122">
        <v>2403</v>
      </c>
      <c r="B122" t="s">
        <v>314</v>
      </c>
      <c r="C122">
        <v>0</v>
      </c>
      <c r="D122">
        <v>496567.81</v>
      </c>
      <c r="E122">
        <v>6894683.3600000003</v>
      </c>
      <c r="F122">
        <v>7065361.04</v>
      </c>
      <c r="G122">
        <v>271295</v>
      </c>
      <c r="H122">
        <v>0</v>
      </c>
      <c r="I122">
        <v>323488.58</v>
      </c>
      <c r="J122">
        <v>6971930.9299999997</v>
      </c>
      <c r="K122">
        <v>6986411.9700000016</v>
      </c>
      <c r="L122">
        <v>316862</v>
      </c>
      <c r="M122">
        <v>0</v>
      </c>
      <c r="N122">
        <v>241925.63</v>
      </c>
      <c r="O122">
        <v>7671559.9900000002</v>
      </c>
      <c r="P122">
        <v>7558366.6499999994</v>
      </c>
      <c r="Q122">
        <v>325748</v>
      </c>
      <c r="R122">
        <v>0</v>
      </c>
      <c r="S122">
        <v>461351.93</v>
      </c>
      <c r="T122">
        <v>7938981.6299999999</v>
      </c>
      <c r="U122">
        <v>7680802.3399999999</v>
      </c>
      <c r="V122">
        <v>305633</v>
      </c>
      <c r="W122">
        <v>0</v>
      </c>
      <c r="X122">
        <v>638828.68999999994</v>
      </c>
      <c r="Y122">
        <v>8793092.0399999991</v>
      </c>
      <c r="Z122">
        <v>8766537.5700000003</v>
      </c>
      <c r="AA122">
        <v>299391</v>
      </c>
      <c r="AB122">
        <v>0</v>
      </c>
      <c r="AC122">
        <v>910784.76</v>
      </c>
      <c r="AD122">
        <v>10037991.77</v>
      </c>
      <c r="AE122">
        <v>9717023.7400000002</v>
      </c>
      <c r="AF122">
        <v>322847</v>
      </c>
      <c r="AZ122">
        <v>2493</v>
      </c>
      <c r="BA122" t="s">
        <v>317</v>
      </c>
      <c r="BB122">
        <v>1525487.42</v>
      </c>
      <c r="BC122">
        <v>1421147.7800000003</v>
      </c>
      <c r="BD122">
        <v>64015</v>
      </c>
      <c r="BG122">
        <v>2493</v>
      </c>
      <c r="BH122" t="s">
        <v>317</v>
      </c>
      <c r="BI122">
        <v>0</v>
      </c>
      <c r="BJ122">
        <v>418856.28</v>
      </c>
    </row>
    <row r="123" spans="1:62" x14ac:dyDescent="0.25">
      <c r="A123">
        <v>2457</v>
      </c>
      <c r="B123" t="s">
        <v>315</v>
      </c>
      <c r="C123">
        <v>0</v>
      </c>
      <c r="D123">
        <v>-11920.64</v>
      </c>
      <c r="E123">
        <v>4569293.3099999996</v>
      </c>
      <c r="F123">
        <v>4505879.4399999985</v>
      </c>
      <c r="G123">
        <v>178849</v>
      </c>
      <c r="H123">
        <v>0</v>
      </c>
      <c r="I123">
        <v>371697.97</v>
      </c>
      <c r="J123">
        <v>4834976.32</v>
      </c>
      <c r="K123">
        <v>4384469.8600000003</v>
      </c>
      <c r="L123">
        <v>199217</v>
      </c>
      <c r="M123">
        <v>0</v>
      </c>
      <c r="N123">
        <v>884203.34</v>
      </c>
      <c r="O123">
        <v>5098051.6900000004</v>
      </c>
      <c r="P123">
        <v>4523171.3599999994</v>
      </c>
      <c r="Q123">
        <v>202344</v>
      </c>
      <c r="R123">
        <v>160346.06</v>
      </c>
      <c r="S123">
        <v>1158844.18</v>
      </c>
      <c r="T123">
        <v>5142656.4400000004</v>
      </c>
      <c r="U123">
        <v>4652670.1100000003</v>
      </c>
      <c r="V123">
        <v>182442</v>
      </c>
      <c r="W123">
        <v>265020.23</v>
      </c>
      <c r="X123">
        <v>1007937.51</v>
      </c>
      <c r="Y123">
        <v>4791949.21</v>
      </c>
      <c r="Z123">
        <v>4829324.1399999997</v>
      </c>
      <c r="AA123">
        <v>182772</v>
      </c>
      <c r="AB123">
        <v>425325.31</v>
      </c>
      <c r="AC123">
        <v>800589.69</v>
      </c>
      <c r="AD123">
        <v>4660678.21</v>
      </c>
      <c r="AE123">
        <v>4659181.2899999991</v>
      </c>
      <c r="AF123">
        <v>187660</v>
      </c>
      <c r="AZ123">
        <v>2502</v>
      </c>
      <c r="BA123" t="s">
        <v>318</v>
      </c>
      <c r="BB123">
        <v>6433950.8600000003</v>
      </c>
      <c r="BC123">
        <v>6458306.4800000004</v>
      </c>
      <c r="BD123">
        <v>255398</v>
      </c>
      <c r="BG123">
        <v>2502</v>
      </c>
      <c r="BH123" t="s">
        <v>318</v>
      </c>
      <c r="BI123">
        <v>8808.99</v>
      </c>
      <c r="BJ123">
        <v>986318.18</v>
      </c>
    </row>
    <row r="124" spans="1:62" x14ac:dyDescent="0.25">
      <c r="A124">
        <v>2466</v>
      </c>
      <c r="B124" t="s">
        <v>316</v>
      </c>
      <c r="C124">
        <v>0</v>
      </c>
      <c r="D124">
        <v>817458.62</v>
      </c>
      <c r="E124">
        <v>10590989.17</v>
      </c>
      <c r="F124">
        <v>10487681.520000001</v>
      </c>
      <c r="G124">
        <v>380378</v>
      </c>
      <c r="H124">
        <v>0</v>
      </c>
      <c r="I124">
        <v>1138462</v>
      </c>
      <c r="J124">
        <v>11137044.84</v>
      </c>
      <c r="K124">
        <v>10789885.740000002</v>
      </c>
      <c r="L124">
        <v>432541</v>
      </c>
      <c r="M124">
        <v>0</v>
      </c>
      <c r="N124">
        <v>1973426.71</v>
      </c>
      <c r="O124">
        <v>12136913</v>
      </c>
      <c r="P124">
        <v>11379245.59</v>
      </c>
      <c r="Q124">
        <v>445562</v>
      </c>
      <c r="R124">
        <v>0</v>
      </c>
      <c r="S124">
        <v>2182924.19</v>
      </c>
      <c r="T124">
        <v>12210935.210000001</v>
      </c>
      <c r="U124">
        <v>11999830.060000001</v>
      </c>
      <c r="V124">
        <v>426301</v>
      </c>
      <c r="W124">
        <v>0</v>
      </c>
      <c r="X124">
        <v>1477780.46</v>
      </c>
      <c r="Y124">
        <v>12218999.42</v>
      </c>
      <c r="Z124">
        <v>12907954.720000001</v>
      </c>
      <c r="AA124">
        <v>460602</v>
      </c>
      <c r="AB124">
        <v>0</v>
      </c>
      <c r="AC124">
        <v>259962.09</v>
      </c>
      <c r="AD124">
        <v>12828536.34</v>
      </c>
      <c r="AE124">
        <v>14054641.840000002</v>
      </c>
      <c r="AF124">
        <v>493400</v>
      </c>
      <c r="AZ124">
        <v>2511</v>
      </c>
      <c r="BA124" t="s">
        <v>319</v>
      </c>
      <c r="BB124">
        <v>20272439.449999999</v>
      </c>
      <c r="BC124">
        <v>19923864.140000001</v>
      </c>
      <c r="BD124">
        <v>781351</v>
      </c>
      <c r="BG124">
        <v>2511</v>
      </c>
      <c r="BH124" t="s">
        <v>319</v>
      </c>
      <c r="BI124">
        <v>0</v>
      </c>
      <c r="BJ124">
        <v>4062022.53</v>
      </c>
    </row>
    <row r="125" spans="1:62" x14ac:dyDescent="0.25">
      <c r="A125">
        <v>2493</v>
      </c>
      <c r="B125" t="s">
        <v>317</v>
      </c>
      <c r="C125">
        <v>0</v>
      </c>
      <c r="D125">
        <v>493532.77</v>
      </c>
      <c r="E125">
        <v>1835127.71</v>
      </c>
      <c r="F125">
        <v>2034934.94</v>
      </c>
      <c r="G125">
        <v>66266</v>
      </c>
      <c r="H125">
        <v>0</v>
      </c>
      <c r="I125">
        <v>366356.75</v>
      </c>
      <c r="J125">
        <v>1764483.67</v>
      </c>
      <c r="K125">
        <v>1903915.8900000001</v>
      </c>
      <c r="L125">
        <v>72710</v>
      </c>
      <c r="M125">
        <v>0</v>
      </c>
      <c r="N125">
        <v>363639.47</v>
      </c>
      <c r="O125">
        <v>1739614.19</v>
      </c>
      <c r="P125">
        <v>1742331.4700000004</v>
      </c>
      <c r="Q125">
        <v>71655</v>
      </c>
      <c r="R125">
        <v>0</v>
      </c>
      <c r="S125">
        <v>253148.06</v>
      </c>
      <c r="T125">
        <v>1500107.73</v>
      </c>
      <c r="U125">
        <v>1595179.47</v>
      </c>
      <c r="V125">
        <v>62732</v>
      </c>
      <c r="W125">
        <v>0</v>
      </c>
      <c r="X125">
        <v>51225.37</v>
      </c>
      <c r="Y125">
        <v>1349910.79</v>
      </c>
      <c r="Z125">
        <v>1525519.75</v>
      </c>
      <c r="AA125">
        <v>64015</v>
      </c>
      <c r="AB125">
        <v>0</v>
      </c>
      <c r="AC125">
        <v>151339.56</v>
      </c>
      <c r="AD125">
        <v>1525487.42</v>
      </c>
      <c r="AE125">
        <v>1421147.7800000003</v>
      </c>
      <c r="AF125">
        <v>67066</v>
      </c>
      <c r="AZ125">
        <v>2520</v>
      </c>
      <c r="BA125" t="s">
        <v>320</v>
      </c>
      <c r="BB125">
        <v>3505924.01</v>
      </c>
      <c r="BC125">
        <v>3721797.0900000003</v>
      </c>
      <c r="BD125">
        <v>118955</v>
      </c>
      <c r="BG125">
        <v>2520</v>
      </c>
      <c r="BH125" t="s">
        <v>320</v>
      </c>
      <c r="BI125">
        <v>0</v>
      </c>
      <c r="BJ125">
        <v>2400232.69</v>
      </c>
    </row>
    <row r="126" spans="1:62" x14ac:dyDescent="0.25">
      <c r="A126">
        <v>2502</v>
      </c>
      <c r="B126" t="s">
        <v>318</v>
      </c>
      <c r="C126">
        <v>0</v>
      </c>
      <c r="D126">
        <v>368772.01</v>
      </c>
      <c r="E126">
        <v>6359634.0999999996</v>
      </c>
      <c r="F126">
        <v>6330097.6200000001</v>
      </c>
      <c r="G126">
        <v>263372</v>
      </c>
      <c r="H126">
        <v>0</v>
      </c>
      <c r="I126">
        <v>455499.73</v>
      </c>
      <c r="J126">
        <v>6282218.2400000002</v>
      </c>
      <c r="K126">
        <v>6115216.9500000002</v>
      </c>
      <c r="L126">
        <v>298097</v>
      </c>
      <c r="M126">
        <v>0</v>
      </c>
      <c r="N126">
        <v>1052375.71</v>
      </c>
      <c r="O126">
        <v>6864364.4500000002</v>
      </c>
      <c r="P126">
        <v>6225769.3999999994</v>
      </c>
      <c r="Q126">
        <v>298467</v>
      </c>
      <c r="R126">
        <v>7453.12</v>
      </c>
      <c r="S126">
        <v>1443749.62</v>
      </c>
      <c r="T126">
        <v>6584874.3200000003</v>
      </c>
      <c r="U126">
        <v>6224896.4600000009</v>
      </c>
      <c r="V126">
        <v>265371</v>
      </c>
      <c r="W126">
        <v>7013.07</v>
      </c>
      <c r="X126">
        <v>1301092.6000000001</v>
      </c>
      <c r="Y126">
        <v>6275859.3899999997</v>
      </c>
      <c r="Z126">
        <v>6436916.6099999994</v>
      </c>
      <c r="AA126">
        <v>255398</v>
      </c>
      <c r="AB126">
        <v>5538.4</v>
      </c>
      <c r="AC126">
        <v>1233236.01</v>
      </c>
      <c r="AD126">
        <v>6433950.8600000003</v>
      </c>
      <c r="AE126">
        <v>6458306.4800000004</v>
      </c>
      <c r="AF126">
        <v>263295</v>
      </c>
      <c r="AZ126">
        <v>2682</v>
      </c>
      <c r="BA126" t="s">
        <v>605</v>
      </c>
      <c r="BB126">
        <v>4665190</v>
      </c>
      <c r="BC126">
        <v>4512191.45</v>
      </c>
      <c r="BD126">
        <v>131854</v>
      </c>
      <c r="BG126">
        <v>2682</v>
      </c>
      <c r="BH126" t="s">
        <v>605</v>
      </c>
      <c r="BI126">
        <v>0</v>
      </c>
      <c r="BJ126">
        <v>1045331.65</v>
      </c>
    </row>
    <row r="127" spans="1:62" x14ac:dyDescent="0.25">
      <c r="A127">
        <v>2511</v>
      </c>
      <c r="B127" t="s">
        <v>319</v>
      </c>
      <c r="C127">
        <v>0</v>
      </c>
      <c r="D127">
        <v>3058601.66</v>
      </c>
      <c r="E127">
        <v>18993801.800000001</v>
      </c>
      <c r="F127">
        <v>18032686.890000001</v>
      </c>
      <c r="G127">
        <v>739912</v>
      </c>
      <c r="H127">
        <v>0</v>
      </c>
      <c r="I127">
        <v>2936108.4</v>
      </c>
      <c r="J127">
        <v>18350211.109999999</v>
      </c>
      <c r="K127">
        <v>19026789.199999999</v>
      </c>
      <c r="L127">
        <v>833393</v>
      </c>
      <c r="M127">
        <v>0</v>
      </c>
      <c r="N127">
        <v>3421319.16</v>
      </c>
      <c r="O127">
        <v>19525334.640000001</v>
      </c>
      <c r="P127">
        <v>18680183.670000006</v>
      </c>
      <c r="Q127">
        <v>849426</v>
      </c>
      <c r="R127">
        <v>0</v>
      </c>
      <c r="S127">
        <v>4430537.28</v>
      </c>
      <c r="T127">
        <v>20114192.5</v>
      </c>
      <c r="U127">
        <v>18998644.019999996</v>
      </c>
      <c r="V127">
        <v>785838</v>
      </c>
      <c r="W127">
        <v>2000</v>
      </c>
      <c r="X127">
        <v>5130259.96</v>
      </c>
      <c r="Y127">
        <v>20094550.739999998</v>
      </c>
      <c r="Z127">
        <v>19306240.510000002</v>
      </c>
      <c r="AA127">
        <v>781351</v>
      </c>
      <c r="AB127">
        <v>0</v>
      </c>
      <c r="AC127">
        <v>5499689.6399999997</v>
      </c>
      <c r="AD127">
        <v>20272439.449999999</v>
      </c>
      <c r="AE127">
        <v>19923864.140000001</v>
      </c>
      <c r="AF127">
        <v>805200</v>
      </c>
      <c r="AZ127">
        <v>2556</v>
      </c>
      <c r="BA127" t="s">
        <v>321</v>
      </c>
      <c r="BB127">
        <v>4236923.41</v>
      </c>
      <c r="BC127">
        <v>4469816.54</v>
      </c>
      <c r="BD127">
        <v>148783</v>
      </c>
      <c r="BG127">
        <v>2556</v>
      </c>
      <c r="BH127" t="s">
        <v>321</v>
      </c>
      <c r="BI127">
        <v>0</v>
      </c>
      <c r="BJ127">
        <v>470283.52000000002</v>
      </c>
    </row>
    <row r="128" spans="1:62" x14ac:dyDescent="0.25">
      <c r="A128">
        <v>2520</v>
      </c>
      <c r="B128" t="s">
        <v>320</v>
      </c>
      <c r="C128">
        <v>0</v>
      </c>
      <c r="D128">
        <v>2367951.2200000002</v>
      </c>
      <c r="E128">
        <v>3816321.6</v>
      </c>
      <c r="F128">
        <v>3376321.2499999995</v>
      </c>
      <c r="G128">
        <v>126171</v>
      </c>
      <c r="H128">
        <v>0</v>
      </c>
      <c r="I128">
        <v>2642504.36</v>
      </c>
      <c r="J128">
        <v>3421787.2</v>
      </c>
      <c r="K128">
        <v>3137890.5099999993</v>
      </c>
      <c r="L128">
        <v>134385</v>
      </c>
      <c r="M128">
        <v>0</v>
      </c>
      <c r="N128">
        <v>2956439.27</v>
      </c>
      <c r="O128">
        <v>3454311.76</v>
      </c>
      <c r="P128">
        <v>3140376.85</v>
      </c>
      <c r="Q128">
        <v>135075</v>
      </c>
      <c r="R128">
        <v>0</v>
      </c>
      <c r="S128">
        <v>3331938.35</v>
      </c>
      <c r="T128">
        <v>3551859.52</v>
      </c>
      <c r="U128">
        <v>3145124.9800000009</v>
      </c>
      <c r="V128">
        <v>119778</v>
      </c>
      <c r="W128">
        <v>0</v>
      </c>
      <c r="X128">
        <v>2984862.3</v>
      </c>
      <c r="Y128">
        <v>3377472.29</v>
      </c>
      <c r="Z128">
        <v>3739551.4400000004</v>
      </c>
      <c r="AA128">
        <v>118955</v>
      </c>
      <c r="AB128">
        <v>0</v>
      </c>
      <c r="AC128">
        <v>2746898.23</v>
      </c>
      <c r="AD128">
        <v>3505924.01</v>
      </c>
      <c r="AE128">
        <v>3721797.0900000003</v>
      </c>
      <c r="AF128">
        <v>121372</v>
      </c>
      <c r="AZ128">
        <v>3195</v>
      </c>
      <c r="BA128" t="s">
        <v>608</v>
      </c>
      <c r="BB128">
        <v>12331927.460000001</v>
      </c>
      <c r="BC128">
        <v>12664796.760000002</v>
      </c>
      <c r="BD128">
        <v>393975</v>
      </c>
      <c r="BG128">
        <v>3195</v>
      </c>
      <c r="BH128" t="s">
        <v>608</v>
      </c>
      <c r="BI128">
        <v>0</v>
      </c>
      <c r="BJ128">
        <v>1137419.46</v>
      </c>
    </row>
    <row r="129" spans="1:62" x14ac:dyDescent="0.25">
      <c r="A129">
        <v>2556</v>
      </c>
      <c r="B129" t="s">
        <v>321</v>
      </c>
      <c r="C129">
        <v>0</v>
      </c>
      <c r="D129">
        <v>654622.03</v>
      </c>
      <c r="E129">
        <v>3067596</v>
      </c>
      <c r="F129">
        <v>2965294.8300000005</v>
      </c>
      <c r="G129">
        <v>86783</v>
      </c>
      <c r="H129">
        <v>0</v>
      </c>
      <c r="I129">
        <v>804217.15</v>
      </c>
      <c r="J129">
        <v>2963923.83</v>
      </c>
      <c r="K129">
        <v>2741009.0100000002</v>
      </c>
      <c r="L129">
        <v>94766</v>
      </c>
      <c r="M129">
        <v>0</v>
      </c>
      <c r="N129">
        <v>1459422.88</v>
      </c>
      <c r="O129">
        <v>4512206.2300000004</v>
      </c>
      <c r="P129">
        <v>4339344.74</v>
      </c>
      <c r="Q129">
        <v>164199</v>
      </c>
      <c r="R129">
        <v>0</v>
      </c>
      <c r="S129">
        <v>1270768.07</v>
      </c>
      <c r="T129">
        <v>4123266.64</v>
      </c>
      <c r="U129">
        <v>4286691.29</v>
      </c>
      <c r="V129">
        <v>145988</v>
      </c>
      <c r="W129">
        <v>0</v>
      </c>
      <c r="X129">
        <v>1195609.94</v>
      </c>
      <c r="Y129">
        <v>4027308.21</v>
      </c>
      <c r="Z129">
        <v>4085864.1799999997</v>
      </c>
      <c r="AA129">
        <v>148783</v>
      </c>
      <c r="AB129">
        <v>0</v>
      </c>
      <c r="AC129">
        <v>1021170.58</v>
      </c>
      <c r="AD129">
        <v>4236923.41</v>
      </c>
      <c r="AE129">
        <v>4469816.54</v>
      </c>
      <c r="AF129">
        <v>153255</v>
      </c>
      <c r="AZ129">
        <v>2709</v>
      </c>
      <c r="BA129" t="s">
        <v>323</v>
      </c>
      <c r="BB129">
        <v>16937344.170000002</v>
      </c>
      <c r="BC129">
        <v>16517655.52</v>
      </c>
      <c r="BD129">
        <v>696729</v>
      </c>
      <c r="BG129">
        <v>2709</v>
      </c>
      <c r="BH129" t="s">
        <v>323</v>
      </c>
      <c r="BI129">
        <v>0</v>
      </c>
      <c r="BJ129">
        <v>3264370.69</v>
      </c>
    </row>
    <row r="130" spans="1:62" x14ac:dyDescent="0.25">
      <c r="A130">
        <v>3195</v>
      </c>
      <c r="B130" t="s">
        <v>322</v>
      </c>
      <c r="C130">
        <v>0</v>
      </c>
      <c r="D130">
        <v>-56915.86</v>
      </c>
      <c r="E130">
        <v>10841502.779999999</v>
      </c>
      <c r="F130">
        <v>10650452.41</v>
      </c>
      <c r="G130">
        <v>381564</v>
      </c>
      <c r="H130">
        <v>0</v>
      </c>
      <c r="I130">
        <v>317776.34999999998</v>
      </c>
      <c r="J130">
        <v>11180479.380000001</v>
      </c>
      <c r="K130">
        <v>10659552.560000001</v>
      </c>
      <c r="L130">
        <v>423991</v>
      </c>
      <c r="M130">
        <v>0</v>
      </c>
      <c r="N130">
        <v>1059227.9099999999</v>
      </c>
      <c r="O130">
        <v>11565165.529999999</v>
      </c>
      <c r="P130">
        <v>10794654.189999999</v>
      </c>
      <c r="Q130">
        <v>425102</v>
      </c>
      <c r="R130">
        <v>0</v>
      </c>
      <c r="S130">
        <v>1664987.18</v>
      </c>
      <c r="T130">
        <v>11637555.699999999</v>
      </c>
      <c r="U130">
        <v>11045731.109999998</v>
      </c>
      <c r="V130">
        <v>378841</v>
      </c>
      <c r="W130">
        <v>0</v>
      </c>
      <c r="X130">
        <v>1658320.34</v>
      </c>
      <c r="Y130">
        <v>12255343.41</v>
      </c>
      <c r="Z130">
        <v>12198766.15</v>
      </c>
      <c r="AA130">
        <v>393975</v>
      </c>
      <c r="AB130">
        <v>0</v>
      </c>
      <c r="AC130">
        <v>1293394.95</v>
      </c>
      <c r="AD130">
        <v>12331927.460000001</v>
      </c>
      <c r="AE130">
        <v>12664796.760000002</v>
      </c>
      <c r="AF130">
        <v>405673</v>
      </c>
      <c r="AZ130">
        <v>2718</v>
      </c>
      <c r="BA130" t="s">
        <v>324</v>
      </c>
      <c r="BB130">
        <v>6066086.1900000004</v>
      </c>
      <c r="BC130">
        <v>6790872.1800000006</v>
      </c>
      <c r="BD130">
        <v>224362</v>
      </c>
      <c r="BG130">
        <v>2718</v>
      </c>
      <c r="BH130" t="s">
        <v>324</v>
      </c>
      <c r="BI130">
        <v>0</v>
      </c>
      <c r="BJ130">
        <v>802586.57</v>
      </c>
    </row>
    <row r="131" spans="1:62" x14ac:dyDescent="0.25">
      <c r="A131">
        <v>2709</v>
      </c>
      <c r="B131" t="s">
        <v>323</v>
      </c>
      <c r="C131">
        <v>0</v>
      </c>
      <c r="D131">
        <v>1781705.55</v>
      </c>
      <c r="E131">
        <v>15302802.18</v>
      </c>
      <c r="F131">
        <v>14825042.940000003</v>
      </c>
      <c r="G131">
        <v>612811</v>
      </c>
      <c r="H131">
        <v>0</v>
      </c>
      <c r="I131">
        <v>2253172.73</v>
      </c>
      <c r="J131">
        <v>15486068.779999999</v>
      </c>
      <c r="K131">
        <v>14961786.039999999</v>
      </c>
      <c r="L131">
        <v>731573</v>
      </c>
      <c r="M131">
        <v>0</v>
      </c>
      <c r="N131">
        <v>3168063.74</v>
      </c>
      <c r="O131">
        <v>17116061.329999998</v>
      </c>
      <c r="P131">
        <v>16184096.759999998</v>
      </c>
      <c r="Q131">
        <v>759218</v>
      </c>
      <c r="R131">
        <v>0</v>
      </c>
      <c r="S131">
        <v>4134365.98</v>
      </c>
      <c r="T131">
        <v>17257948.399999999</v>
      </c>
      <c r="U131">
        <v>16299847.569999998</v>
      </c>
      <c r="V131">
        <v>692997</v>
      </c>
      <c r="W131">
        <v>0</v>
      </c>
      <c r="X131">
        <v>4067704.3</v>
      </c>
      <c r="Y131">
        <v>16566449.16</v>
      </c>
      <c r="Z131">
        <v>16568348.82</v>
      </c>
      <c r="AA131">
        <v>696729</v>
      </c>
      <c r="AB131">
        <v>0</v>
      </c>
      <c r="AC131">
        <v>4254252.1500000004</v>
      </c>
      <c r="AD131">
        <v>16937344.170000002</v>
      </c>
      <c r="AE131">
        <v>16517655.52</v>
      </c>
      <c r="AF131">
        <v>711831</v>
      </c>
      <c r="AZ131">
        <v>2727</v>
      </c>
      <c r="BA131" t="s">
        <v>325</v>
      </c>
      <c r="BB131">
        <v>7048450.5899999999</v>
      </c>
      <c r="BC131">
        <v>6832507.1700000009</v>
      </c>
      <c r="BD131">
        <v>258401</v>
      </c>
      <c r="BG131">
        <v>2727</v>
      </c>
      <c r="BH131" t="s">
        <v>325</v>
      </c>
      <c r="BI131">
        <v>0</v>
      </c>
      <c r="BJ131">
        <v>1313076.27</v>
      </c>
    </row>
    <row r="132" spans="1:62" x14ac:dyDescent="0.25">
      <c r="A132">
        <v>2718</v>
      </c>
      <c r="B132" t="s">
        <v>324</v>
      </c>
      <c r="C132">
        <v>0</v>
      </c>
      <c r="D132">
        <v>296309.99</v>
      </c>
      <c r="E132">
        <v>5878978.0800000001</v>
      </c>
      <c r="F132">
        <v>5839975.8999999994</v>
      </c>
      <c r="G132">
        <v>213339</v>
      </c>
      <c r="H132">
        <v>0</v>
      </c>
      <c r="I132">
        <v>1208838.74</v>
      </c>
      <c r="J132">
        <v>6409957.9299999997</v>
      </c>
      <c r="K132">
        <v>5333129.3499999996</v>
      </c>
      <c r="L132">
        <v>248265</v>
      </c>
      <c r="M132">
        <v>0</v>
      </c>
      <c r="N132">
        <v>1989586.41</v>
      </c>
      <c r="O132">
        <v>6457025.1600000001</v>
      </c>
      <c r="P132">
        <v>5604531.5599999996</v>
      </c>
      <c r="Q132">
        <v>254208</v>
      </c>
      <c r="R132">
        <v>0</v>
      </c>
      <c r="S132">
        <v>2478290.5299999998</v>
      </c>
      <c r="T132">
        <v>6335321.5599999996</v>
      </c>
      <c r="U132">
        <v>5931718.4000000013</v>
      </c>
      <c r="V132">
        <v>224939</v>
      </c>
      <c r="W132">
        <v>0</v>
      </c>
      <c r="X132">
        <v>2037820.46</v>
      </c>
      <c r="Y132">
        <v>5714641.2300000004</v>
      </c>
      <c r="Z132">
        <v>6160506.46</v>
      </c>
      <c r="AA132">
        <v>224362</v>
      </c>
      <c r="AB132">
        <v>0</v>
      </c>
      <c r="AC132">
        <v>1265230.3700000001</v>
      </c>
      <c r="AD132">
        <v>6066086.1900000004</v>
      </c>
      <c r="AE132">
        <v>6790872.1800000006</v>
      </c>
      <c r="AF132">
        <v>234294</v>
      </c>
      <c r="AZ132">
        <v>2754</v>
      </c>
      <c r="BA132" t="s">
        <v>326</v>
      </c>
      <c r="BB132">
        <v>5271177.0199999996</v>
      </c>
      <c r="BC132">
        <v>5638038.0000000009</v>
      </c>
      <c r="BD132">
        <v>184693</v>
      </c>
      <c r="BG132">
        <v>2754</v>
      </c>
      <c r="BH132" t="s">
        <v>326</v>
      </c>
      <c r="BI132">
        <v>0</v>
      </c>
      <c r="BJ132">
        <v>994212.07</v>
      </c>
    </row>
    <row r="133" spans="1:62" x14ac:dyDescent="0.25">
      <c r="A133">
        <v>2727</v>
      </c>
      <c r="B133" t="s">
        <v>325</v>
      </c>
      <c r="C133">
        <v>0</v>
      </c>
      <c r="D133">
        <v>892840.34</v>
      </c>
      <c r="E133">
        <v>5793959.8700000001</v>
      </c>
      <c r="F133">
        <v>5826582.580000001</v>
      </c>
      <c r="G133">
        <v>222659</v>
      </c>
      <c r="H133">
        <v>0</v>
      </c>
      <c r="I133">
        <v>458108.31</v>
      </c>
      <c r="J133">
        <v>5859057.9900000002</v>
      </c>
      <c r="K133">
        <v>6197663.5800000001</v>
      </c>
      <c r="L133">
        <v>267032</v>
      </c>
      <c r="M133">
        <v>0</v>
      </c>
      <c r="N133">
        <v>515576.27</v>
      </c>
      <c r="O133">
        <v>6099035.2300000004</v>
      </c>
      <c r="P133">
        <v>6087567.3300000001</v>
      </c>
      <c r="Q133">
        <v>271850</v>
      </c>
      <c r="R133">
        <v>0</v>
      </c>
      <c r="S133">
        <v>827915.42</v>
      </c>
      <c r="T133">
        <v>6431914.6299999999</v>
      </c>
      <c r="U133">
        <v>6285088.2000000011</v>
      </c>
      <c r="V133">
        <v>249030</v>
      </c>
      <c r="W133">
        <v>0</v>
      </c>
      <c r="X133">
        <v>1184546.53</v>
      </c>
      <c r="Y133">
        <v>6942611.2199999997</v>
      </c>
      <c r="Z133">
        <v>6598019.9300000006</v>
      </c>
      <c r="AA133">
        <v>258401</v>
      </c>
      <c r="AB133">
        <v>0</v>
      </c>
      <c r="AC133">
        <v>1408480.2</v>
      </c>
      <c r="AD133">
        <v>7048450.5899999999</v>
      </c>
      <c r="AE133">
        <v>6832507.1700000009</v>
      </c>
      <c r="AF133">
        <v>264466</v>
      </c>
      <c r="AZ133">
        <v>2772</v>
      </c>
      <c r="BA133" t="s">
        <v>328</v>
      </c>
      <c r="BB133">
        <v>3176387.97</v>
      </c>
      <c r="BC133">
        <v>3368309.6999999997</v>
      </c>
      <c r="BD133">
        <v>99609</v>
      </c>
      <c r="BG133">
        <v>2772</v>
      </c>
      <c r="BH133" t="s">
        <v>328</v>
      </c>
      <c r="BI133">
        <v>0</v>
      </c>
      <c r="BJ133">
        <v>458276.2</v>
      </c>
    </row>
    <row r="134" spans="1:62" x14ac:dyDescent="0.25">
      <c r="A134">
        <v>2754</v>
      </c>
      <c r="B134" t="s">
        <v>326</v>
      </c>
      <c r="C134">
        <v>0</v>
      </c>
      <c r="D134">
        <v>-207881.06</v>
      </c>
      <c r="E134">
        <v>5091857.4000000004</v>
      </c>
      <c r="F134">
        <v>4917020.07</v>
      </c>
      <c r="G134">
        <v>186955</v>
      </c>
      <c r="H134">
        <v>0</v>
      </c>
      <c r="I134">
        <v>367014.24</v>
      </c>
      <c r="J134">
        <v>5493494.5499999998</v>
      </c>
      <c r="K134">
        <v>4885557.5199999996</v>
      </c>
      <c r="L134">
        <v>206244</v>
      </c>
      <c r="M134">
        <v>0</v>
      </c>
      <c r="N134">
        <v>1062013.51</v>
      </c>
      <c r="O134">
        <v>5740860.1299999999</v>
      </c>
      <c r="P134">
        <v>4987352.0200000005</v>
      </c>
      <c r="Q134">
        <v>205527</v>
      </c>
      <c r="R134">
        <v>0</v>
      </c>
      <c r="S134">
        <v>1608160.54</v>
      </c>
      <c r="T134">
        <v>5617313.5899999999</v>
      </c>
      <c r="U134">
        <v>5135050.16</v>
      </c>
      <c r="V134">
        <v>186212</v>
      </c>
      <c r="W134">
        <v>0</v>
      </c>
      <c r="X134">
        <v>1664203.64</v>
      </c>
      <c r="Y134">
        <v>5193933.5199999996</v>
      </c>
      <c r="Z134">
        <v>5127416.33</v>
      </c>
      <c r="AA134">
        <v>184693</v>
      </c>
      <c r="AB134">
        <v>0</v>
      </c>
      <c r="AC134">
        <v>1312094.8999999999</v>
      </c>
      <c r="AD134">
        <v>5271177.0199999996</v>
      </c>
      <c r="AE134">
        <v>5638038.0000000009</v>
      </c>
      <c r="AF134">
        <v>189565</v>
      </c>
      <c r="AZ134">
        <v>2781</v>
      </c>
      <c r="BA134" t="s">
        <v>329</v>
      </c>
      <c r="BB134">
        <v>13307331.6</v>
      </c>
      <c r="BC134">
        <v>13623095.610000001</v>
      </c>
      <c r="BD134">
        <v>481980</v>
      </c>
      <c r="BG134">
        <v>2781</v>
      </c>
      <c r="BH134" t="s">
        <v>329</v>
      </c>
      <c r="BI134">
        <v>0</v>
      </c>
      <c r="BJ134">
        <v>1234507.43</v>
      </c>
    </row>
    <row r="135" spans="1:62" x14ac:dyDescent="0.25">
      <c r="A135">
        <v>2766</v>
      </c>
      <c r="B135" t="s">
        <v>327</v>
      </c>
      <c r="C135">
        <v>0</v>
      </c>
      <c r="D135">
        <v>1176979.19</v>
      </c>
      <c r="E135">
        <v>3660538.51</v>
      </c>
      <c r="F135">
        <v>3583764.97</v>
      </c>
      <c r="G135">
        <v>134416</v>
      </c>
      <c r="H135">
        <v>0</v>
      </c>
      <c r="I135">
        <v>1037574.4</v>
      </c>
      <c r="J135">
        <v>3549989.14</v>
      </c>
      <c r="K135">
        <v>3684040.14</v>
      </c>
      <c r="L135">
        <v>144315</v>
      </c>
      <c r="M135">
        <v>0</v>
      </c>
      <c r="N135">
        <v>743255.53</v>
      </c>
      <c r="O135">
        <v>3793669.22</v>
      </c>
      <c r="P135">
        <v>4025306.94</v>
      </c>
      <c r="Q135">
        <v>145533</v>
      </c>
      <c r="R135">
        <v>0</v>
      </c>
      <c r="S135">
        <v>686684.68</v>
      </c>
      <c r="T135">
        <v>3953227.49</v>
      </c>
      <c r="U135">
        <v>3837040.1800000006</v>
      </c>
      <c r="V135">
        <v>128555</v>
      </c>
      <c r="W135">
        <v>0</v>
      </c>
      <c r="X135">
        <v>597452.93999999994</v>
      </c>
      <c r="Y135">
        <v>3665675.61</v>
      </c>
      <c r="Z135">
        <v>3769923.16</v>
      </c>
      <c r="AA135">
        <v>126661</v>
      </c>
      <c r="AB135">
        <v>0</v>
      </c>
      <c r="AC135">
        <v>457251.46</v>
      </c>
      <c r="AD135">
        <v>3628638.43</v>
      </c>
      <c r="AE135">
        <v>3716525.0100000002</v>
      </c>
      <c r="AF135">
        <v>129618</v>
      </c>
      <c r="AZ135">
        <v>2826</v>
      </c>
      <c r="BA135" t="s">
        <v>330</v>
      </c>
      <c r="BB135">
        <v>15330484.029999999</v>
      </c>
      <c r="BC135">
        <v>15902835.039999999</v>
      </c>
      <c r="BD135">
        <v>547192</v>
      </c>
      <c r="BG135">
        <v>2826</v>
      </c>
      <c r="BH135" t="s">
        <v>330</v>
      </c>
      <c r="BI135">
        <v>41283.120000000003</v>
      </c>
      <c r="BJ135">
        <v>2430758.79</v>
      </c>
    </row>
    <row r="136" spans="1:62" x14ac:dyDescent="0.25">
      <c r="A136">
        <v>2772</v>
      </c>
      <c r="B136" t="s">
        <v>328</v>
      </c>
      <c r="C136">
        <v>0</v>
      </c>
      <c r="D136">
        <v>-207934.44</v>
      </c>
      <c r="E136">
        <v>2841536.69</v>
      </c>
      <c r="F136">
        <v>2955609.66</v>
      </c>
      <c r="G136">
        <v>103853</v>
      </c>
      <c r="H136">
        <v>0</v>
      </c>
      <c r="I136">
        <v>-387246.67</v>
      </c>
      <c r="J136">
        <v>3065811.59</v>
      </c>
      <c r="K136">
        <v>3187627.0199999996</v>
      </c>
      <c r="L136">
        <v>116397</v>
      </c>
      <c r="M136">
        <v>0</v>
      </c>
      <c r="N136">
        <v>61565.66</v>
      </c>
      <c r="O136">
        <v>3360411.12</v>
      </c>
      <c r="P136">
        <v>2856796.79</v>
      </c>
      <c r="Q136">
        <v>113373</v>
      </c>
      <c r="R136">
        <v>0</v>
      </c>
      <c r="S136">
        <v>574616.31999999995</v>
      </c>
      <c r="T136">
        <v>3591834.55</v>
      </c>
      <c r="U136">
        <v>3028535.5200000005</v>
      </c>
      <c r="V136">
        <v>100642</v>
      </c>
      <c r="W136">
        <v>0</v>
      </c>
      <c r="X136">
        <v>511926.42</v>
      </c>
      <c r="Y136">
        <v>3462585.12</v>
      </c>
      <c r="Z136">
        <v>3546740.5100000002</v>
      </c>
      <c r="AA136">
        <v>99609</v>
      </c>
      <c r="AB136">
        <v>0</v>
      </c>
      <c r="AC136">
        <v>311923.61</v>
      </c>
      <c r="AD136">
        <v>3176387.97</v>
      </c>
      <c r="AE136">
        <v>3368309.6999999997</v>
      </c>
      <c r="AF136">
        <v>105204</v>
      </c>
      <c r="AZ136">
        <v>2834</v>
      </c>
      <c r="BA136" t="s">
        <v>331</v>
      </c>
      <c r="BB136">
        <v>4040774.91</v>
      </c>
      <c r="BC136">
        <v>4252177.9000000004</v>
      </c>
      <c r="BD136">
        <v>141628</v>
      </c>
      <c r="BG136">
        <v>2834</v>
      </c>
      <c r="BH136" t="s">
        <v>331</v>
      </c>
      <c r="BI136">
        <v>0</v>
      </c>
      <c r="BJ136">
        <v>-178390.13</v>
      </c>
    </row>
    <row r="137" spans="1:62" x14ac:dyDescent="0.25">
      <c r="A137">
        <v>2781</v>
      </c>
      <c r="B137" t="s">
        <v>329</v>
      </c>
      <c r="C137">
        <v>0</v>
      </c>
      <c r="D137">
        <v>367843.23</v>
      </c>
      <c r="E137">
        <v>11179501.970000001</v>
      </c>
      <c r="F137">
        <v>10384844.4</v>
      </c>
      <c r="G137">
        <v>444565</v>
      </c>
      <c r="H137">
        <v>0</v>
      </c>
      <c r="I137">
        <v>194132.39</v>
      </c>
      <c r="J137">
        <v>11091531.92</v>
      </c>
      <c r="K137">
        <v>11058247.549999999</v>
      </c>
      <c r="L137">
        <v>506620</v>
      </c>
      <c r="M137">
        <v>0</v>
      </c>
      <c r="N137">
        <v>691973.84</v>
      </c>
      <c r="O137">
        <v>12320298.859999999</v>
      </c>
      <c r="P137">
        <v>11854416.090000002</v>
      </c>
      <c r="Q137">
        <v>533139</v>
      </c>
      <c r="R137">
        <v>0</v>
      </c>
      <c r="S137">
        <v>1913647.26</v>
      </c>
      <c r="T137">
        <v>13187263.310000001</v>
      </c>
      <c r="U137">
        <v>12161173.27</v>
      </c>
      <c r="V137">
        <v>487060</v>
      </c>
      <c r="W137">
        <v>0</v>
      </c>
      <c r="X137">
        <v>1618712.6</v>
      </c>
      <c r="Y137">
        <v>12348704.48</v>
      </c>
      <c r="Z137">
        <v>12636822.369999999</v>
      </c>
      <c r="AA137">
        <v>481980</v>
      </c>
      <c r="AB137">
        <v>0</v>
      </c>
      <c r="AC137">
        <v>1298014.4099999999</v>
      </c>
      <c r="AD137">
        <v>13307331.6</v>
      </c>
      <c r="AE137">
        <v>13623095.610000001</v>
      </c>
      <c r="AF137">
        <v>516972</v>
      </c>
      <c r="AZ137">
        <v>2846</v>
      </c>
      <c r="BA137" t="s">
        <v>332</v>
      </c>
      <c r="BB137">
        <v>3478387.14</v>
      </c>
      <c r="BC137">
        <v>3135496.34</v>
      </c>
      <c r="BD137">
        <v>120221</v>
      </c>
      <c r="BG137">
        <v>2846</v>
      </c>
      <c r="BH137" t="s">
        <v>332</v>
      </c>
      <c r="BI137">
        <v>26279.13</v>
      </c>
      <c r="BJ137">
        <v>1449631.63</v>
      </c>
    </row>
    <row r="138" spans="1:62" x14ac:dyDescent="0.25">
      <c r="A138">
        <v>2826</v>
      </c>
      <c r="B138" t="s">
        <v>330</v>
      </c>
      <c r="C138">
        <v>0</v>
      </c>
      <c r="D138">
        <v>2582862.46</v>
      </c>
      <c r="E138">
        <v>14156681.9</v>
      </c>
      <c r="F138">
        <v>14652436.02</v>
      </c>
      <c r="G138">
        <v>560644</v>
      </c>
      <c r="H138">
        <v>0</v>
      </c>
      <c r="I138">
        <v>1647636.79</v>
      </c>
      <c r="J138">
        <v>14296643.48</v>
      </c>
      <c r="K138">
        <v>15070322.83</v>
      </c>
      <c r="L138">
        <v>615639</v>
      </c>
      <c r="M138">
        <v>43494.58</v>
      </c>
      <c r="N138">
        <v>3042598.45</v>
      </c>
      <c r="O138">
        <v>15600661.189999999</v>
      </c>
      <c r="P138">
        <v>13922302.569999998</v>
      </c>
      <c r="Q138">
        <v>613093</v>
      </c>
      <c r="R138">
        <v>54696</v>
      </c>
      <c r="S138">
        <v>4487453.8600000003</v>
      </c>
      <c r="T138">
        <v>15915320.039999999</v>
      </c>
      <c r="U138">
        <v>14502704.98</v>
      </c>
      <c r="V138">
        <v>547409</v>
      </c>
      <c r="W138">
        <v>68482.23</v>
      </c>
      <c r="X138">
        <v>4059459.18</v>
      </c>
      <c r="Y138">
        <v>14477951.460000001</v>
      </c>
      <c r="Z138">
        <v>14930728.130000001</v>
      </c>
      <c r="AA138">
        <v>547192</v>
      </c>
      <c r="AB138">
        <v>36647.56</v>
      </c>
      <c r="AC138">
        <v>3539294.26</v>
      </c>
      <c r="AD138">
        <v>15330484.029999999</v>
      </c>
      <c r="AE138">
        <v>15902835.039999999</v>
      </c>
      <c r="AF138">
        <v>577516</v>
      </c>
      <c r="AZ138">
        <v>2862</v>
      </c>
      <c r="BA138" t="s">
        <v>333</v>
      </c>
      <c r="BB138">
        <v>7303385.75</v>
      </c>
      <c r="BC138">
        <v>7105543.0999999987</v>
      </c>
      <c r="BD138">
        <v>257929</v>
      </c>
      <c r="BG138">
        <v>2862</v>
      </c>
      <c r="BH138" t="s">
        <v>333</v>
      </c>
      <c r="BI138">
        <v>0</v>
      </c>
      <c r="BJ138">
        <v>1065886.56</v>
      </c>
    </row>
    <row r="139" spans="1:62" x14ac:dyDescent="0.25">
      <c r="A139">
        <v>2834</v>
      </c>
      <c r="B139" t="s">
        <v>331</v>
      </c>
      <c r="C139">
        <v>0</v>
      </c>
      <c r="D139">
        <v>-284933.27</v>
      </c>
      <c r="E139">
        <v>3865002.63</v>
      </c>
      <c r="F139">
        <v>3818459.57</v>
      </c>
      <c r="G139">
        <v>146210</v>
      </c>
      <c r="H139">
        <v>0</v>
      </c>
      <c r="I139">
        <v>-393677.55</v>
      </c>
      <c r="J139">
        <v>4175248.76</v>
      </c>
      <c r="K139">
        <v>3972327.3</v>
      </c>
      <c r="L139">
        <v>164866</v>
      </c>
      <c r="M139">
        <v>0</v>
      </c>
      <c r="N139">
        <v>-351396.23</v>
      </c>
      <c r="O139">
        <v>4130182.31</v>
      </c>
      <c r="P139">
        <v>3904975.85</v>
      </c>
      <c r="Q139">
        <v>164594</v>
      </c>
      <c r="R139">
        <v>0</v>
      </c>
      <c r="S139">
        <v>4013.55</v>
      </c>
      <c r="T139">
        <v>3964434.08</v>
      </c>
      <c r="U139">
        <v>3675341.32</v>
      </c>
      <c r="V139">
        <v>142570</v>
      </c>
      <c r="W139">
        <v>0</v>
      </c>
      <c r="X139">
        <v>156148.43</v>
      </c>
      <c r="Y139">
        <v>3934062.31</v>
      </c>
      <c r="Z139">
        <v>3802266.64</v>
      </c>
      <c r="AA139">
        <v>141628</v>
      </c>
      <c r="AB139">
        <v>0</v>
      </c>
      <c r="AC139">
        <v>-63754.58</v>
      </c>
      <c r="AD139">
        <v>4040774.91</v>
      </c>
      <c r="AE139">
        <v>4252177.9000000004</v>
      </c>
      <c r="AF139">
        <v>148123</v>
      </c>
      <c r="AZ139">
        <v>2977</v>
      </c>
      <c r="BA139" t="s">
        <v>334</v>
      </c>
      <c r="BB139">
        <v>7813203.4400000004</v>
      </c>
      <c r="BC139">
        <v>7381212.209999999</v>
      </c>
      <c r="BD139">
        <v>253035</v>
      </c>
      <c r="BG139">
        <v>2977</v>
      </c>
      <c r="BH139" t="s">
        <v>334</v>
      </c>
      <c r="BI139">
        <v>0</v>
      </c>
      <c r="BJ139">
        <v>196215.73</v>
      </c>
    </row>
    <row r="140" spans="1:62" x14ac:dyDescent="0.25">
      <c r="A140">
        <v>2846</v>
      </c>
      <c r="B140" t="s">
        <v>332</v>
      </c>
      <c r="C140">
        <v>0</v>
      </c>
      <c r="D140">
        <v>758529.37</v>
      </c>
      <c r="E140">
        <v>2893328.67</v>
      </c>
      <c r="F140">
        <v>2764955.3200000003</v>
      </c>
      <c r="G140">
        <v>102407</v>
      </c>
      <c r="H140">
        <v>0</v>
      </c>
      <c r="I140">
        <v>774060.65</v>
      </c>
      <c r="J140">
        <v>2806660.01</v>
      </c>
      <c r="K140">
        <v>2718422.2399999998</v>
      </c>
      <c r="L140">
        <v>113338</v>
      </c>
      <c r="M140">
        <v>0</v>
      </c>
      <c r="N140">
        <v>814045.77</v>
      </c>
      <c r="O140">
        <v>2976605.16</v>
      </c>
      <c r="P140">
        <v>2924040.9200000004</v>
      </c>
      <c r="Q140">
        <v>116691</v>
      </c>
      <c r="R140">
        <v>43055.35</v>
      </c>
      <c r="S140">
        <v>831917.63</v>
      </c>
      <c r="T140">
        <v>2947803.61</v>
      </c>
      <c r="U140">
        <v>2992492.2699999996</v>
      </c>
      <c r="V140">
        <v>109320</v>
      </c>
      <c r="W140">
        <v>42577.06</v>
      </c>
      <c r="X140">
        <v>852362.35</v>
      </c>
      <c r="Y140">
        <v>3118391.82</v>
      </c>
      <c r="Z140">
        <v>3122104.3500000006</v>
      </c>
      <c r="AA140">
        <v>120221</v>
      </c>
      <c r="AB140">
        <v>38107.69</v>
      </c>
      <c r="AC140">
        <v>1156319.58</v>
      </c>
      <c r="AD140">
        <v>3478387.14</v>
      </c>
      <c r="AE140">
        <v>3135496.34</v>
      </c>
      <c r="AF140">
        <v>129416</v>
      </c>
      <c r="AZ140">
        <v>2988</v>
      </c>
      <c r="BA140" t="s">
        <v>335</v>
      </c>
      <c r="BB140">
        <v>6425008.2999999998</v>
      </c>
      <c r="BC140">
        <v>6842909.0600000005</v>
      </c>
      <c r="BD140">
        <v>203100</v>
      </c>
      <c r="BG140">
        <v>2988</v>
      </c>
      <c r="BH140" t="s">
        <v>335</v>
      </c>
      <c r="BI140">
        <v>0</v>
      </c>
      <c r="BJ140">
        <v>940595.18</v>
      </c>
    </row>
    <row r="141" spans="1:62" x14ac:dyDescent="0.25">
      <c r="A141">
        <v>2862</v>
      </c>
      <c r="B141" t="s">
        <v>333</v>
      </c>
      <c r="C141">
        <v>0</v>
      </c>
      <c r="D141">
        <v>-221890.26</v>
      </c>
      <c r="E141">
        <v>6178447.9699999997</v>
      </c>
      <c r="F141">
        <v>6502463.9899999993</v>
      </c>
      <c r="G141">
        <v>268979</v>
      </c>
      <c r="H141">
        <v>0</v>
      </c>
      <c r="I141">
        <v>-630958.59</v>
      </c>
      <c r="J141">
        <v>6039861.7699999996</v>
      </c>
      <c r="K141">
        <v>6444316.0800000001</v>
      </c>
      <c r="L141">
        <v>290153</v>
      </c>
      <c r="M141">
        <v>0</v>
      </c>
      <c r="N141">
        <v>-129681.32</v>
      </c>
      <c r="O141">
        <v>7109969.7400000002</v>
      </c>
      <c r="P141">
        <v>6621876.0399999991</v>
      </c>
      <c r="Q141">
        <v>294129</v>
      </c>
      <c r="R141">
        <v>0</v>
      </c>
      <c r="S141">
        <v>481014.75</v>
      </c>
      <c r="T141">
        <v>7195887.2000000002</v>
      </c>
      <c r="U141">
        <v>6579248.3899999997</v>
      </c>
      <c r="V141">
        <v>258300</v>
      </c>
      <c r="W141">
        <v>0</v>
      </c>
      <c r="X141">
        <v>917395.58</v>
      </c>
      <c r="Y141">
        <v>7084701.7000000002</v>
      </c>
      <c r="Z141">
        <v>6647900.79</v>
      </c>
      <c r="AA141">
        <v>257929</v>
      </c>
      <c r="AB141">
        <v>0</v>
      </c>
      <c r="AC141">
        <v>1077620.5900000001</v>
      </c>
      <c r="AD141">
        <v>7303385.75</v>
      </c>
      <c r="AE141">
        <v>7105543.0999999987</v>
      </c>
      <c r="AF141">
        <v>269481</v>
      </c>
      <c r="AZ141">
        <v>2766</v>
      </c>
      <c r="BA141" t="s">
        <v>606</v>
      </c>
      <c r="BB141">
        <v>3628638.43</v>
      </c>
      <c r="BC141">
        <v>3716525.0100000002</v>
      </c>
      <c r="BD141">
        <v>126661</v>
      </c>
      <c r="BG141">
        <v>2766</v>
      </c>
      <c r="BH141" t="s">
        <v>606</v>
      </c>
      <c r="BI141">
        <v>0</v>
      </c>
      <c r="BJ141">
        <v>318808.11</v>
      </c>
    </row>
    <row r="142" spans="1:62" x14ac:dyDescent="0.25">
      <c r="A142">
        <v>2977</v>
      </c>
      <c r="B142" t="s">
        <v>334</v>
      </c>
      <c r="C142">
        <v>0</v>
      </c>
      <c r="D142">
        <v>-298876.53999999998</v>
      </c>
      <c r="E142">
        <v>6378860.8799999999</v>
      </c>
      <c r="F142">
        <v>6647053.54</v>
      </c>
      <c r="G142">
        <v>234627</v>
      </c>
      <c r="H142">
        <v>0</v>
      </c>
      <c r="I142">
        <v>-697313.43</v>
      </c>
      <c r="J142">
        <v>6379650.6100000003</v>
      </c>
      <c r="K142">
        <v>6738526.6699999999</v>
      </c>
      <c r="L142">
        <v>259507</v>
      </c>
      <c r="M142">
        <v>0</v>
      </c>
      <c r="N142">
        <v>-738133.55</v>
      </c>
      <c r="O142">
        <v>6857109.6799999997</v>
      </c>
      <c r="P142">
        <v>6890192.8699999992</v>
      </c>
      <c r="Q142">
        <v>278007</v>
      </c>
      <c r="R142">
        <v>0</v>
      </c>
      <c r="S142">
        <v>-619880.92000000004</v>
      </c>
      <c r="T142">
        <v>7251445.9800000004</v>
      </c>
      <c r="U142">
        <v>7125511.9799999995</v>
      </c>
      <c r="V142">
        <v>253795</v>
      </c>
      <c r="W142">
        <v>0</v>
      </c>
      <c r="X142">
        <v>-235499.72</v>
      </c>
      <c r="Y142">
        <v>7522545.9299999997</v>
      </c>
      <c r="Z142">
        <v>7136524.8000000007</v>
      </c>
      <c r="AA142">
        <v>253035</v>
      </c>
      <c r="AB142">
        <v>0</v>
      </c>
      <c r="AC142">
        <v>193264.4</v>
      </c>
      <c r="AD142">
        <v>7813203.4400000004</v>
      </c>
      <c r="AE142">
        <v>7381212.209999999</v>
      </c>
      <c r="AF142">
        <v>262735</v>
      </c>
      <c r="AZ142">
        <v>3029</v>
      </c>
      <c r="BA142" t="s">
        <v>336</v>
      </c>
      <c r="BB142">
        <v>14844892.199999999</v>
      </c>
      <c r="BC142">
        <v>14349184.300000001</v>
      </c>
      <c r="BD142">
        <v>544490</v>
      </c>
      <c r="BG142">
        <v>3029</v>
      </c>
      <c r="BH142" t="s">
        <v>336</v>
      </c>
      <c r="BI142">
        <v>0</v>
      </c>
      <c r="BJ142">
        <v>2484662.71</v>
      </c>
    </row>
    <row r="143" spans="1:62" x14ac:dyDescent="0.25">
      <c r="A143">
        <v>2988</v>
      </c>
      <c r="B143" t="s">
        <v>335</v>
      </c>
      <c r="C143">
        <v>0</v>
      </c>
      <c r="D143">
        <v>702656.23</v>
      </c>
      <c r="E143">
        <v>5804482.4699999997</v>
      </c>
      <c r="F143">
        <v>5924290.1899999995</v>
      </c>
      <c r="G143">
        <v>203703</v>
      </c>
      <c r="H143">
        <v>0</v>
      </c>
      <c r="I143">
        <v>472462.68</v>
      </c>
      <c r="J143">
        <v>5756277.71</v>
      </c>
      <c r="K143">
        <v>5962569.1199999992</v>
      </c>
      <c r="L143">
        <v>221262</v>
      </c>
      <c r="M143">
        <v>0</v>
      </c>
      <c r="N143">
        <v>878150.52</v>
      </c>
      <c r="O143">
        <v>6319878.8700000001</v>
      </c>
      <c r="P143">
        <v>5907793.830000001</v>
      </c>
      <c r="Q143">
        <v>225531</v>
      </c>
      <c r="R143">
        <v>0</v>
      </c>
      <c r="S143">
        <v>1199763.25</v>
      </c>
      <c r="T143">
        <v>6360165.8899999997</v>
      </c>
      <c r="U143">
        <v>6054049.1500000013</v>
      </c>
      <c r="V143">
        <v>204135</v>
      </c>
      <c r="W143">
        <v>0</v>
      </c>
      <c r="X143">
        <v>1274231.55</v>
      </c>
      <c r="Y143">
        <v>6595061.4199999999</v>
      </c>
      <c r="Z143">
        <v>6482007.3799999999</v>
      </c>
      <c r="AA143">
        <v>203100</v>
      </c>
      <c r="AB143">
        <v>0</v>
      </c>
      <c r="AC143">
        <v>907144.95</v>
      </c>
      <c r="AD143">
        <v>6425008.2999999998</v>
      </c>
      <c r="AE143">
        <v>6842909.0600000005</v>
      </c>
      <c r="AF143">
        <v>210130</v>
      </c>
      <c r="AZ143">
        <v>3033</v>
      </c>
      <c r="BA143" t="s">
        <v>337</v>
      </c>
      <c r="BB143">
        <v>5328266.1500000004</v>
      </c>
      <c r="BC143">
        <v>5617634.9299999997</v>
      </c>
      <c r="BD143">
        <v>158295</v>
      </c>
      <c r="BG143">
        <v>3033</v>
      </c>
      <c r="BH143" t="s">
        <v>337</v>
      </c>
      <c r="BI143">
        <v>0</v>
      </c>
      <c r="BJ143">
        <v>666355.78</v>
      </c>
    </row>
    <row r="144" spans="1:62" x14ac:dyDescent="0.25">
      <c r="A144">
        <v>3029</v>
      </c>
      <c r="B144" t="s">
        <v>336</v>
      </c>
      <c r="C144">
        <v>0</v>
      </c>
      <c r="D144">
        <v>721992.88</v>
      </c>
      <c r="E144">
        <v>13228748.25</v>
      </c>
      <c r="F144">
        <v>13841133.25</v>
      </c>
      <c r="G144">
        <v>534196</v>
      </c>
      <c r="H144">
        <v>0</v>
      </c>
      <c r="I144">
        <v>24665.86</v>
      </c>
      <c r="J144">
        <v>13057942.16</v>
      </c>
      <c r="K144">
        <v>13748362.499999998</v>
      </c>
      <c r="L144">
        <v>578150</v>
      </c>
      <c r="M144">
        <v>0</v>
      </c>
      <c r="N144">
        <v>522840.78</v>
      </c>
      <c r="O144">
        <v>13814179.119999999</v>
      </c>
      <c r="P144">
        <v>13224984.619999999</v>
      </c>
      <c r="Q144">
        <v>594473</v>
      </c>
      <c r="R144">
        <v>0</v>
      </c>
      <c r="S144">
        <v>1805376.16</v>
      </c>
      <c r="T144">
        <v>14590379.26</v>
      </c>
      <c r="U144">
        <v>13350705.420000002</v>
      </c>
      <c r="V144">
        <v>545142</v>
      </c>
      <c r="W144">
        <v>0</v>
      </c>
      <c r="X144">
        <v>2760429.78</v>
      </c>
      <c r="Y144">
        <v>14434515.48</v>
      </c>
      <c r="Z144">
        <v>13341278.370000001</v>
      </c>
      <c r="AA144">
        <v>544490</v>
      </c>
      <c r="AB144">
        <v>0</v>
      </c>
      <c r="AC144">
        <v>3053304.19</v>
      </c>
      <c r="AD144">
        <v>14844892.199999999</v>
      </c>
      <c r="AE144">
        <v>14349184.300000001</v>
      </c>
      <c r="AF144">
        <v>561136</v>
      </c>
      <c r="AZ144">
        <v>3042</v>
      </c>
      <c r="BA144" t="s">
        <v>338</v>
      </c>
      <c r="BB144">
        <v>7915781.0300000003</v>
      </c>
      <c r="BC144">
        <v>7079676.1300000008</v>
      </c>
      <c r="BD144">
        <v>255500</v>
      </c>
      <c r="BG144">
        <v>3042</v>
      </c>
      <c r="BH144" t="s">
        <v>338</v>
      </c>
      <c r="BI144">
        <v>0</v>
      </c>
      <c r="BJ144">
        <v>2461668.25</v>
      </c>
    </row>
    <row r="145" spans="1:62" x14ac:dyDescent="0.25">
      <c r="A145">
        <v>3033</v>
      </c>
      <c r="B145" t="s">
        <v>337</v>
      </c>
      <c r="C145">
        <v>0</v>
      </c>
      <c r="D145">
        <v>374280.09</v>
      </c>
      <c r="E145">
        <v>5124472.8600000003</v>
      </c>
      <c r="F145">
        <v>5105643.5900000008</v>
      </c>
      <c r="G145">
        <v>162072</v>
      </c>
      <c r="H145">
        <v>0</v>
      </c>
      <c r="I145">
        <v>440306.29</v>
      </c>
      <c r="J145">
        <v>5110237.45</v>
      </c>
      <c r="K145">
        <v>4994785.0500000007</v>
      </c>
      <c r="L145">
        <v>181512</v>
      </c>
      <c r="M145">
        <v>0</v>
      </c>
      <c r="N145">
        <v>855761.76</v>
      </c>
      <c r="O145">
        <v>5237312.8</v>
      </c>
      <c r="P145">
        <v>4817433.91</v>
      </c>
      <c r="Q145">
        <v>182816</v>
      </c>
      <c r="R145">
        <v>0</v>
      </c>
      <c r="S145">
        <v>1089367.07</v>
      </c>
      <c r="T145">
        <v>5232071.18</v>
      </c>
      <c r="U145">
        <v>5024433.84</v>
      </c>
      <c r="V145">
        <v>162786</v>
      </c>
      <c r="W145">
        <v>0</v>
      </c>
      <c r="X145">
        <v>911835.08</v>
      </c>
      <c r="Y145">
        <v>5064076.41</v>
      </c>
      <c r="Z145">
        <v>5236802.57</v>
      </c>
      <c r="AA145">
        <v>158295</v>
      </c>
      <c r="AB145">
        <v>0</v>
      </c>
      <c r="AC145">
        <v>611685.13</v>
      </c>
      <c r="AD145">
        <v>5328266.1500000004</v>
      </c>
      <c r="AE145">
        <v>5617634.9299999997</v>
      </c>
      <c r="AF145">
        <v>168565</v>
      </c>
      <c r="AZ145">
        <v>3060</v>
      </c>
      <c r="BA145" t="s">
        <v>339</v>
      </c>
      <c r="BB145">
        <v>13674721.18</v>
      </c>
      <c r="BC145">
        <v>13840638.23</v>
      </c>
      <c r="BD145">
        <v>462052</v>
      </c>
      <c r="BG145">
        <v>3060</v>
      </c>
      <c r="BH145" t="s">
        <v>339</v>
      </c>
      <c r="BI145">
        <v>0</v>
      </c>
      <c r="BJ145">
        <v>1393322.26</v>
      </c>
    </row>
    <row r="146" spans="1:62" x14ac:dyDescent="0.25">
      <c r="A146">
        <v>3042</v>
      </c>
      <c r="B146" t="s">
        <v>338</v>
      </c>
      <c r="C146">
        <v>0</v>
      </c>
      <c r="D146">
        <v>570344.99</v>
      </c>
      <c r="E146">
        <v>6807535.2699999996</v>
      </c>
      <c r="F146">
        <v>6615087.8400000008</v>
      </c>
      <c r="G146">
        <v>240610</v>
      </c>
      <c r="H146">
        <v>0</v>
      </c>
      <c r="I146">
        <v>165772.88</v>
      </c>
      <c r="J146">
        <v>6545196.8700000001</v>
      </c>
      <c r="K146">
        <v>6923054.8300000001</v>
      </c>
      <c r="L146">
        <v>284723</v>
      </c>
      <c r="M146">
        <v>0</v>
      </c>
      <c r="N146">
        <v>158911.97</v>
      </c>
      <c r="O146">
        <v>7008083.9900000002</v>
      </c>
      <c r="P146">
        <v>6971083.3300000001</v>
      </c>
      <c r="Q146">
        <v>292178</v>
      </c>
      <c r="R146">
        <v>0</v>
      </c>
      <c r="S146">
        <v>614382.5</v>
      </c>
      <c r="T146">
        <v>6990625.0899999999</v>
      </c>
      <c r="U146">
        <v>6491074.8399999999</v>
      </c>
      <c r="V146">
        <v>264296</v>
      </c>
      <c r="W146">
        <v>0</v>
      </c>
      <c r="X146">
        <v>1145293.7</v>
      </c>
      <c r="Y146">
        <v>7298021.7599999998</v>
      </c>
      <c r="Z146">
        <v>6716751.3500000006</v>
      </c>
      <c r="AA146">
        <v>255500</v>
      </c>
      <c r="AB146">
        <v>0</v>
      </c>
      <c r="AC146">
        <v>1942318.8</v>
      </c>
      <c r="AD146">
        <v>7915781.0300000003</v>
      </c>
      <c r="AE146">
        <v>7079676.1300000008</v>
      </c>
      <c r="AF146">
        <v>281100</v>
      </c>
      <c r="AZ146">
        <v>3168</v>
      </c>
      <c r="BA146" t="s">
        <v>607</v>
      </c>
      <c r="BB146">
        <v>8285645.2300000004</v>
      </c>
      <c r="BC146">
        <v>7636394.8400000008</v>
      </c>
      <c r="BD146">
        <v>279684</v>
      </c>
      <c r="BG146">
        <v>3168</v>
      </c>
      <c r="BH146" t="s">
        <v>607</v>
      </c>
      <c r="BI146">
        <v>0</v>
      </c>
      <c r="BJ146">
        <v>1989564.23</v>
      </c>
    </row>
    <row r="147" spans="1:62" x14ac:dyDescent="0.25">
      <c r="A147">
        <v>3060</v>
      </c>
      <c r="B147" t="s">
        <v>339</v>
      </c>
      <c r="C147">
        <v>0</v>
      </c>
      <c r="D147">
        <v>1927472.17</v>
      </c>
      <c r="E147">
        <v>10158635.609999999</v>
      </c>
      <c r="F147">
        <v>10416225.299999999</v>
      </c>
      <c r="G147">
        <v>426384</v>
      </c>
      <c r="H147">
        <v>0</v>
      </c>
      <c r="I147">
        <v>1709797.25</v>
      </c>
      <c r="J147">
        <v>11121935.630000001</v>
      </c>
      <c r="K147">
        <v>11222850.85</v>
      </c>
      <c r="L147">
        <v>463324</v>
      </c>
      <c r="M147">
        <v>0</v>
      </c>
      <c r="N147">
        <v>1982566.05</v>
      </c>
      <c r="O147">
        <v>12424765.859999999</v>
      </c>
      <c r="P147">
        <v>12173141.549999999</v>
      </c>
      <c r="Q147">
        <v>490306</v>
      </c>
      <c r="R147">
        <v>0</v>
      </c>
      <c r="S147">
        <v>1846953.86</v>
      </c>
      <c r="T147">
        <v>12575232.09</v>
      </c>
      <c r="U147">
        <v>12718095.949999999</v>
      </c>
      <c r="V147">
        <v>439414</v>
      </c>
      <c r="W147">
        <v>0</v>
      </c>
      <c r="X147">
        <v>1358068.15</v>
      </c>
      <c r="Y147">
        <v>12995938.300000001</v>
      </c>
      <c r="Z147">
        <v>13447852.390000001</v>
      </c>
      <c r="AA147">
        <v>462052</v>
      </c>
      <c r="AB147">
        <v>0</v>
      </c>
      <c r="AC147">
        <v>1222638.67</v>
      </c>
      <c r="AD147">
        <v>13674721.18</v>
      </c>
      <c r="AE147">
        <v>13840638.23</v>
      </c>
      <c r="AF147">
        <v>479912</v>
      </c>
      <c r="AZ147">
        <v>3105</v>
      </c>
      <c r="BA147" t="s">
        <v>341</v>
      </c>
      <c r="BB147">
        <v>16337604.5</v>
      </c>
      <c r="BC147">
        <v>16051830.279999997</v>
      </c>
      <c r="BD147">
        <v>577426</v>
      </c>
      <c r="BG147">
        <v>3105</v>
      </c>
      <c r="BH147" t="s">
        <v>341</v>
      </c>
      <c r="BI147">
        <v>0</v>
      </c>
      <c r="BJ147">
        <v>1519759.88</v>
      </c>
    </row>
    <row r="148" spans="1:62" x14ac:dyDescent="0.25">
      <c r="A148">
        <v>3168</v>
      </c>
      <c r="B148" t="s">
        <v>340</v>
      </c>
      <c r="C148">
        <v>0</v>
      </c>
      <c r="D148">
        <v>584862.31999999995</v>
      </c>
      <c r="E148">
        <v>5179980.84</v>
      </c>
      <c r="F148">
        <v>5438542.2000000002</v>
      </c>
      <c r="G148">
        <v>149030</v>
      </c>
      <c r="H148">
        <v>0</v>
      </c>
      <c r="I148">
        <v>351094.81</v>
      </c>
      <c r="J148">
        <v>5007551.76</v>
      </c>
      <c r="K148">
        <v>5239723.6500000004</v>
      </c>
      <c r="L148">
        <v>162310</v>
      </c>
      <c r="M148">
        <v>0</v>
      </c>
      <c r="N148">
        <v>476480.6</v>
      </c>
      <c r="O148">
        <v>4892867.21</v>
      </c>
      <c r="P148">
        <v>4756448.8600000003</v>
      </c>
      <c r="Q148">
        <v>167352</v>
      </c>
      <c r="R148">
        <v>0</v>
      </c>
      <c r="S148">
        <v>1029421.24</v>
      </c>
      <c r="T148">
        <v>8999933.6799999997</v>
      </c>
      <c r="U148">
        <v>8393691.8000000007</v>
      </c>
      <c r="V148">
        <v>280916</v>
      </c>
      <c r="W148">
        <v>0</v>
      </c>
      <c r="X148">
        <v>1308108.05</v>
      </c>
      <c r="Y148">
        <v>8357658.2999999998</v>
      </c>
      <c r="Z148">
        <v>8056517.0899999989</v>
      </c>
      <c r="AA148">
        <v>279684</v>
      </c>
      <c r="AB148">
        <v>0</v>
      </c>
      <c r="AC148">
        <v>1915110.45</v>
      </c>
      <c r="AD148">
        <v>8285645.2300000004</v>
      </c>
      <c r="AE148">
        <v>7636394.8400000008</v>
      </c>
      <c r="AF148">
        <v>289135</v>
      </c>
      <c r="AZ148">
        <v>3114</v>
      </c>
      <c r="BA148" t="s">
        <v>342</v>
      </c>
      <c r="BB148">
        <v>33471031.079999998</v>
      </c>
      <c r="BC148">
        <v>33611056.559999995</v>
      </c>
      <c r="BD148">
        <v>1198589</v>
      </c>
      <c r="BG148">
        <v>3114</v>
      </c>
      <c r="BH148" t="s">
        <v>342</v>
      </c>
      <c r="BI148">
        <v>10187.469999999999</v>
      </c>
      <c r="BJ148">
        <v>5685995.8899999997</v>
      </c>
    </row>
    <row r="149" spans="1:62" x14ac:dyDescent="0.25">
      <c r="A149">
        <v>3105</v>
      </c>
      <c r="B149" t="s">
        <v>341</v>
      </c>
      <c r="C149">
        <v>0</v>
      </c>
      <c r="D149">
        <v>-740782.65</v>
      </c>
      <c r="E149">
        <v>14009591.460000001</v>
      </c>
      <c r="F149">
        <v>14746317.649999999</v>
      </c>
      <c r="G149">
        <v>554260</v>
      </c>
      <c r="H149">
        <v>0</v>
      </c>
      <c r="I149">
        <v>-889172.8</v>
      </c>
      <c r="J149">
        <v>14397734.949999999</v>
      </c>
      <c r="K149">
        <v>14253636.499999998</v>
      </c>
      <c r="L149">
        <v>635787</v>
      </c>
      <c r="M149">
        <v>0</v>
      </c>
      <c r="N149">
        <v>-282021.76000000001</v>
      </c>
      <c r="O149">
        <v>14767518.880000001</v>
      </c>
      <c r="P149">
        <v>14091988.780000001</v>
      </c>
      <c r="Q149">
        <v>652768</v>
      </c>
      <c r="R149">
        <v>0</v>
      </c>
      <c r="S149">
        <v>359425.7</v>
      </c>
      <c r="T149">
        <v>15368777.960000001</v>
      </c>
      <c r="U149">
        <v>14713271.879999999</v>
      </c>
      <c r="V149">
        <v>591985</v>
      </c>
      <c r="W149">
        <v>0</v>
      </c>
      <c r="X149">
        <v>1067370.19</v>
      </c>
      <c r="Y149">
        <v>15596587.220000001</v>
      </c>
      <c r="Z149">
        <v>14894614.880000001</v>
      </c>
      <c r="AA149">
        <v>577426</v>
      </c>
      <c r="AB149">
        <v>0</v>
      </c>
      <c r="AC149">
        <v>1296902.96</v>
      </c>
      <c r="AD149">
        <v>16337604.5</v>
      </c>
      <c r="AE149">
        <v>16051830.279999997</v>
      </c>
      <c r="AF149">
        <v>601389</v>
      </c>
      <c r="AZ149">
        <v>3119</v>
      </c>
      <c r="BA149" t="s">
        <v>343</v>
      </c>
      <c r="BB149">
        <v>8804623.6999999993</v>
      </c>
      <c r="BC149">
        <v>9023969.3300000001</v>
      </c>
      <c r="BD149">
        <v>323018</v>
      </c>
      <c r="BG149">
        <v>3119</v>
      </c>
      <c r="BH149" t="s">
        <v>343</v>
      </c>
      <c r="BI149">
        <v>87023.15</v>
      </c>
      <c r="BJ149">
        <v>703088.36</v>
      </c>
    </row>
    <row r="150" spans="1:62" x14ac:dyDescent="0.25">
      <c r="A150">
        <v>3114</v>
      </c>
      <c r="B150" t="s">
        <v>342</v>
      </c>
      <c r="C150">
        <v>0</v>
      </c>
      <c r="D150">
        <v>1988754.82</v>
      </c>
      <c r="E150">
        <v>28511777.219999999</v>
      </c>
      <c r="F150">
        <v>29236779.009999994</v>
      </c>
      <c r="G150">
        <v>1111247</v>
      </c>
      <c r="H150">
        <v>0</v>
      </c>
      <c r="I150">
        <v>1995934.68</v>
      </c>
      <c r="J150">
        <v>29192710.34</v>
      </c>
      <c r="K150">
        <v>28842512.449999999</v>
      </c>
      <c r="L150">
        <v>1251043</v>
      </c>
      <c r="M150">
        <v>0</v>
      </c>
      <c r="N150">
        <v>3173035.04</v>
      </c>
      <c r="O150">
        <v>30730487.5</v>
      </c>
      <c r="P150">
        <v>29747940.820000004</v>
      </c>
      <c r="Q150">
        <v>1260384</v>
      </c>
      <c r="R150">
        <v>0</v>
      </c>
      <c r="S150">
        <v>5261019.1100000003</v>
      </c>
      <c r="T150">
        <v>32479329.399999999</v>
      </c>
      <c r="U150">
        <v>30501426.000000004</v>
      </c>
      <c r="V150">
        <v>1152740</v>
      </c>
      <c r="W150">
        <v>0</v>
      </c>
      <c r="X150">
        <v>5949166.2199999997</v>
      </c>
      <c r="Y150">
        <v>33048694.800000001</v>
      </c>
      <c r="Z150">
        <v>32038239.690000001</v>
      </c>
      <c r="AA150">
        <v>1198589</v>
      </c>
      <c r="AB150">
        <v>7760.61</v>
      </c>
      <c r="AC150">
        <v>6079990.2699999996</v>
      </c>
      <c r="AD150">
        <v>33471031.079999998</v>
      </c>
      <c r="AE150">
        <v>33611056.559999995</v>
      </c>
      <c r="AF150">
        <v>1287371</v>
      </c>
      <c r="AZ150">
        <v>3141</v>
      </c>
      <c r="BA150" t="s">
        <v>344</v>
      </c>
      <c r="BB150">
        <v>132896222.17</v>
      </c>
      <c r="BC150">
        <v>137738099.88</v>
      </c>
      <c r="BD150">
        <v>4861844</v>
      </c>
      <c r="BG150">
        <v>3141</v>
      </c>
      <c r="BH150" t="s">
        <v>344</v>
      </c>
      <c r="BI150">
        <v>0</v>
      </c>
      <c r="BJ150">
        <v>12640414.92</v>
      </c>
    </row>
    <row r="151" spans="1:62" x14ac:dyDescent="0.25">
      <c r="A151">
        <v>3119</v>
      </c>
      <c r="B151" t="s">
        <v>343</v>
      </c>
      <c r="C151">
        <v>0</v>
      </c>
      <c r="D151">
        <v>1550810.36</v>
      </c>
      <c r="E151">
        <v>7957040.3799999999</v>
      </c>
      <c r="F151">
        <v>7904379.9200000009</v>
      </c>
      <c r="G151">
        <v>309836</v>
      </c>
      <c r="H151">
        <v>0</v>
      </c>
      <c r="I151">
        <v>1345781.82</v>
      </c>
      <c r="J151">
        <v>7334183.9800000004</v>
      </c>
      <c r="K151">
        <v>7513539.6400000006</v>
      </c>
      <c r="L151">
        <v>331913</v>
      </c>
      <c r="M151">
        <v>46409.47</v>
      </c>
      <c r="N151">
        <v>884043.28</v>
      </c>
      <c r="O151">
        <v>7724787.54</v>
      </c>
      <c r="P151">
        <v>7888777.8000000007</v>
      </c>
      <c r="Q151">
        <v>335812</v>
      </c>
      <c r="R151">
        <v>63656.4</v>
      </c>
      <c r="S151">
        <v>920675.01</v>
      </c>
      <c r="T151">
        <v>8316564.4000000004</v>
      </c>
      <c r="U151">
        <v>7990388.8599999985</v>
      </c>
      <c r="V151">
        <v>309745</v>
      </c>
      <c r="W151">
        <v>76277.67</v>
      </c>
      <c r="X151">
        <v>946431.93</v>
      </c>
      <c r="Y151">
        <v>8443441.9000000004</v>
      </c>
      <c r="Z151">
        <v>8387908.6299999999</v>
      </c>
      <c r="AA151">
        <v>323018</v>
      </c>
      <c r="AB151">
        <v>96771.13</v>
      </c>
      <c r="AC151">
        <v>710956.86</v>
      </c>
      <c r="AD151">
        <v>8804623.6999999993</v>
      </c>
      <c r="AE151">
        <v>9023969.3300000001</v>
      </c>
      <c r="AF151">
        <v>343798</v>
      </c>
      <c r="AZ151">
        <v>3150</v>
      </c>
      <c r="BA151" t="s">
        <v>345</v>
      </c>
      <c r="BB151">
        <v>12092704.9</v>
      </c>
      <c r="BC151">
        <v>12371803.33</v>
      </c>
      <c r="BD151">
        <v>433050</v>
      </c>
      <c r="BG151">
        <v>3150</v>
      </c>
      <c r="BH151" t="s">
        <v>345</v>
      </c>
      <c r="BI151">
        <v>0</v>
      </c>
      <c r="BJ151">
        <v>1901816.88</v>
      </c>
    </row>
    <row r="152" spans="1:62" x14ac:dyDescent="0.25">
      <c r="A152">
        <v>3141</v>
      </c>
      <c r="B152" t="s">
        <v>344</v>
      </c>
      <c r="C152">
        <v>0</v>
      </c>
      <c r="D152">
        <v>5611240.3700000001</v>
      </c>
      <c r="E152">
        <v>113950819.5</v>
      </c>
      <c r="F152">
        <v>112172168.86</v>
      </c>
      <c r="G152">
        <v>4265250</v>
      </c>
      <c r="H152">
        <v>0</v>
      </c>
      <c r="I152">
        <v>5150686.8</v>
      </c>
      <c r="J152">
        <v>115204810.52</v>
      </c>
      <c r="K152">
        <v>114149215.06000002</v>
      </c>
      <c r="L152">
        <v>4766004</v>
      </c>
      <c r="M152">
        <v>502365</v>
      </c>
      <c r="N152">
        <v>9292774.3800000008</v>
      </c>
      <c r="O152">
        <v>124163981.45</v>
      </c>
      <c r="P152">
        <v>118016086.24999999</v>
      </c>
      <c r="Q152">
        <v>4940696</v>
      </c>
      <c r="R152">
        <v>609562.93999999994</v>
      </c>
      <c r="S152">
        <v>15382597.359999999</v>
      </c>
      <c r="T152">
        <v>127867725.34</v>
      </c>
      <c r="U152">
        <v>121460764.32999998</v>
      </c>
      <c r="V152">
        <v>4587779</v>
      </c>
      <c r="W152">
        <v>669699</v>
      </c>
      <c r="X152">
        <v>13271678.890000001</v>
      </c>
      <c r="Y152">
        <v>129246023.36</v>
      </c>
      <c r="Z152">
        <v>131155307.74999999</v>
      </c>
      <c r="AA152">
        <v>4861844</v>
      </c>
      <c r="AB152">
        <v>0</v>
      </c>
      <c r="AC152">
        <v>10163650.060000001</v>
      </c>
      <c r="AD152">
        <v>132896222.17</v>
      </c>
      <c r="AE152">
        <v>137738099.88</v>
      </c>
      <c r="AF152">
        <v>5193678</v>
      </c>
      <c r="AZ152">
        <v>3154</v>
      </c>
      <c r="BA152" t="s">
        <v>346</v>
      </c>
      <c r="BB152">
        <v>5387415.6200000001</v>
      </c>
      <c r="BC152">
        <v>5807982.1399999997</v>
      </c>
      <c r="BD152">
        <v>228371</v>
      </c>
      <c r="BG152">
        <v>3154</v>
      </c>
      <c r="BH152" t="s">
        <v>346</v>
      </c>
      <c r="BI152">
        <v>65550.5</v>
      </c>
      <c r="BJ152">
        <v>765952.67</v>
      </c>
    </row>
    <row r="153" spans="1:62" x14ac:dyDescent="0.25">
      <c r="A153">
        <v>3150</v>
      </c>
      <c r="B153" t="s">
        <v>345</v>
      </c>
      <c r="C153">
        <v>0</v>
      </c>
      <c r="D153">
        <v>1154731.07</v>
      </c>
      <c r="E153">
        <v>10568562.08</v>
      </c>
      <c r="F153">
        <v>10256631.449999999</v>
      </c>
      <c r="G153">
        <v>380255</v>
      </c>
      <c r="H153">
        <v>0</v>
      </c>
      <c r="I153">
        <v>1141071.7</v>
      </c>
      <c r="J153">
        <v>10552537.539999999</v>
      </c>
      <c r="K153">
        <v>10487991.860000001</v>
      </c>
      <c r="L153">
        <v>448336</v>
      </c>
      <c r="M153">
        <v>0</v>
      </c>
      <c r="N153">
        <v>1596889.17</v>
      </c>
      <c r="O153">
        <v>11195844.65</v>
      </c>
      <c r="P153">
        <v>10711239.470000001</v>
      </c>
      <c r="Q153">
        <v>455726</v>
      </c>
      <c r="R153">
        <v>0</v>
      </c>
      <c r="S153">
        <v>1809919.08</v>
      </c>
      <c r="T153">
        <v>11361156.42</v>
      </c>
      <c r="U153">
        <v>11162554.9</v>
      </c>
      <c r="V153">
        <v>416003</v>
      </c>
      <c r="W153">
        <v>0</v>
      </c>
      <c r="X153">
        <v>2081074.78</v>
      </c>
      <c r="Y153">
        <v>11801321.98</v>
      </c>
      <c r="Z153">
        <v>11537061.050000001</v>
      </c>
      <c r="AA153">
        <v>433050</v>
      </c>
      <c r="AB153">
        <v>0</v>
      </c>
      <c r="AC153">
        <v>1779887.6</v>
      </c>
      <c r="AD153">
        <v>12092704.9</v>
      </c>
      <c r="AE153">
        <v>12371803.33</v>
      </c>
      <c r="AF153">
        <v>452454</v>
      </c>
      <c r="AZ153">
        <v>3186</v>
      </c>
      <c r="BA153" t="s">
        <v>347</v>
      </c>
      <c r="BB153">
        <v>4018481.18</v>
      </c>
      <c r="BC153">
        <v>3600410.0299999993</v>
      </c>
      <c r="BD153">
        <v>144177</v>
      </c>
      <c r="BG153">
        <v>3186</v>
      </c>
      <c r="BH153" t="s">
        <v>347</v>
      </c>
      <c r="BI153">
        <v>0</v>
      </c>
      <c r="BJ153">
        <v>1352832.36</v>
      </c>
    </row>
    <row r="154" spans="1:62" x14ac:dyDescent="0.25">
      <c r="A154">
        <v>3154</v>
      </c>
      <c r="B154" t="s">
        <v>346</v>
      </c>
      <c r="C154">
        <v>0</v>
      </c>
      <c r="D154">
        <v>30684.44</v>
      </c>
      <c r="E154">
        <v>5820446.6200000001</v>
      </c>
      <c r="F154">
        <v>5373944.6600000011</v>
      </c>
      <c r="G154">
        <v>229080</v>
      </c>
      <c r="H154">
        <v>0</v>
      </c>
      <c r="I154">
        <v>-103097.85</v>
      </c>
      <c r="J154">
        <v>5425160.1299999999</v>
      </c>
      <c r="K154">
        <v>5482193.790000001</v>
      </c>
      <c r="L154">
        <v>257003</v>
      </c>
      <c r="M154">
        <v>0</v>
      </c>
      <c r="N154">
        <v>950768.61</v>
      </c>
      <c r="O154">
        <v>6562363.6799999997</v>
      </c>
      <c r="P154">
        <v>5504851.1299999999</v>
      </c>
      <c r="Q154">
        <v>257542</v>
      </c>
      <c r="R154">
        <v>36029.199999999997</v>
      </c>
      <c r="S154">
        <v>2055882.93</v>
      </c>
      <c r="T154">
        <v>6683681.4900000002</v>
      </c>
      <c r="U154">
        <v>5379758.419999999</v>
      </c>
      <c r="V154">
        <v>230080</v>
      </c>
      <c r="W154">
        <v>41562.28</v>
      </c>
      <c r="X154">
        <v>1796553</v>
      </c>
      <c r="Y154">
        <v>5873339.5</v>
      </c>
      <c r="Z154">
        <v>6091605.5499999998</v>
      </c>
      <c r="AA154">
        <v>228371</v>
      </c>
      <c r="AB154">
        <v>58648.14</v>
      </c>
      <c r="AC154">
        <v>1409831.81</v>
      </c>
      <c r="AD154">
        <v>5387415.6200000001</v>
      </c>
      <c r="AE154">
        <v>5807982.1399999997</v>
      </c>
      <c r="AF154">
        <v>233940</v>
      </c>
      <c r="AZ154">
        <v>3204</v>
      </c>
      <c r="BA154" t="s">
        <v>348</v>
      </c>
      <c r="BB154">
        <v>8466604.2699999996</v>
      </c>
      <c r="BC154">
        <v>8921505.7799999993</v>
      </c>
      <c r="BD154">
        <v>362390</v>
      </c>
      <c r="BG154">
        <v>3204</v>
      </c>
      <c r="BH154" t="s">
        <v>348</v>
      </c>
      <c r="BI154">
        <v>0</v>
      </c>
      <c r="BJ154">
        <v>87028.18</v>
      </c>
    </row>
    <row r="155" spans="1:62" x14ac:dyDescent="0.25">
      <c r="A155">
        <v>3186</v>
      </c>
      <c r="B155" t="s">
        <v>347</v>
      </c>
      <c r="C155">
        <v>0</v>
      </c>
      <c r="D155">
        <v>861309.31</v>
      </c>
      <c r="E155">
        <v>3166436.37</v>
      </c>
      <c r="F155">
        <v>3064606.28</v>
      </c>
      <c r="G155">
        <v>126729</v>
      </c>
      <c r="H155">
        <v>0</v>
      </c>
      <c r="I155">
        <v>584988.89</v>
      </c>
      <c r="J155">
        <v>3076218.49</v>
      </c>
      <c r="K155">
        <v>3258192.7999999993</v>
      </c>
      <c r="L155">
        <v>143134</v>
      </c>
      <c r="M155">
        <v>0</v>
      </c>
      <c r="N155">
        <v>307449.24</v>
      </c>
      <c r="O155">
        <v>3254411.58</v>
      </c>
      <c r="P155">
        <v>3556272.3200000003</v>
      </c>
      <c r="Q155">
        <v>152063</v>
      </c>
      <c r="R155">
        <v>0</v>
      </c>
      <c r="S155">
        <v>308544.86</v>
      </c>
      <c r="T155">
        <v>3562204.96</v>
      </c>
      <c r="U155">
        <v>3608160.7099999995</v>
      </c>
      <c r="V155">
        <v>147975</v>
      </c>
      <c r="W155">
        <v>0</v>
      </c>
      <c r="X155">
        <v>818912.63</v>
      </c>
      <c r="Y155">
        <v>4147947.52</v>
      </c>
      <c r="Z155">
        <v>3659047.7199999997</v>
      </c>
      <c r="AA155">
        <v>144177</v>
      </c>
      <c r="AB155">
        <v>0</v>
      </c>
      <c r="AC155">
        <v>1217416.3400000001</v>
      </c>
      <c r="AD155">
        <v>4018481.18</v>
      </c>
      <c r="AE155">
        <v>3600410.0299999993</v>
      </c>
      <c r="AF155">
        <v>148146</v>
      </c>
      <c r="AZ155">
        <v>3231</v>
      </c>
      <c r="BA155" t="s">
        <v>349</v>
      </c>
      <c r="BB155">
        <v>65393400.719999999</v>
      </c>
      <c r="BC155">
        <v>65225021.859999999</v>
      </c>
      <c r="BD155">
        <v>2307835</v>
      </c>
      <c r="BG155">
        <v>3231</v>
      </c>
      <c r="BH155" t="s">
        <v>349</v>
      </c>
      <c r="BI155">
        <v>0</v>
      </c>
      <c r="BJ155">
        <v>6065733.5599999996</v>
      </c>
    </row>
    <row r="156" spans="1:62" x14ac:dyDescent="0.25">
      <c r="A156">
        <v>3204</v>
      </c>
      <c r="B156" t="s">
        <v>348</v>
      </c>
      <c r="C156">
        <v>0</v>
      </c>
      <c r="D156">
        <v>1169443.0900000001</v>
      </c>
      <c r="E156">
        <v>7017612.6600000001</v>
      </c>
      <c r="F156">
        <v>7447597.5799999991</v>
      </c>
      <c r="G156">
        <v>318371</v>
      </c>
      <c r="H156">
        <v>0</v>
      </c>
      <c r="I156">
        <v>497552.47</v>
      </c>
      <c r="J156">
        <v>7190019.75</v>
      </c>
      <c r="K156">
        <v>7825441.7199999997</v>
      </c>
      <c r="L156">
        <v>396965</v>
      </c>
      <c r="M156">
        <v>0</v>
      </c>
      <c r="N156">
        <v>359657.16</v>
      </c>
      <c r="O156">
        <v>8431457.75</v>
      </c>
      <c r="P156">
        <v>8038048.7199999997</v>
      </c>
      <c r="Q156">
        <v>402182</v>
      </c>
      <c r="R156">
        <v>0</v>
      </c>
      <c r="S156">
        <v>1113740.07</v>
      </c>
      <c r="T156">
        <v>8231429.7599999998</v>
      </c>
      <c r="U156">
        <v>7968188.290000001</v>
      </c>
      <c r="V156">
        <v>366905</v>
      </c>
      <c r="W156">
        <v>0</v>
      </c>
      <c r="X156">
        <v>778745.94</v>
      </c>
      <c r="Y156">
        <v>8093546.2000000002</v>
      </c>
      <c r="Z156">
        <v>8402028.7300000004</v>
      </c>
      <c r="AA156">
        <v>362390</v>
      </c>
      <c r="AB156">
        <v>0</v>
      </c>
      <c r="AC156">
        <v>303636.99</v>
      </c>
      <c r="AD156">
        <v>8466604.2699999996</v>
      </c>
      <c r="AE156">
        <v>8921505.7799999993</v>
      </c>
      <c r="AF156">
        <v>380982</v>
      </c>
      <c r="AZ156">
        <v>3312</v>
      </c>
      <c r="BA156" t="s">
        <v>350</v>
      </c>
      <c r="BB156">
        <v>20949463.640000001</v>
      </c>
      <c r="BC156">
        <v>21519525.719999999</v>
      </c>
      <c r="BD156">
        <v>806756</v>
      </c>
      <c r="BG156">
        <v>3312</v>
      </c>
      <c r="BH156" t="s">
        <v>350</v>
      </c>
      <c r="BI156">
        <v>0</v>
      </c>
      <c r="BJ156">
        <v>1390736.68</v>
      </c>
    </row>
    <row r="157" spans="1:62" x14ac:dyDescent="0.25">
      <c r="A157">
        <v>3231</v>
      </c>
      <c r="B157" t="s">
        <v>349</v>
      </c>
      <c r="C157">
        <v>310770.82</v>
      </c>
      <c r="D157">
        <v>2347276.2400000002</v>
      </c>
      <c r="E157">
        <v>52004072.280000001</v>
      </c>
      <c r="F157">
        <v>52232961.969999999</v>
      </c>
      <c r="G157">
        <v>1946449</v>
      </c>
      <c r="H157">
        <v>304400.05</v>
      </c>
      <c r="I157">
        <v>1580545.44</v>
      </c>
      <c r="J157">
        <v>54702681.520000003</v>
      </c>
      <c r="K157">
        <v>55041811.190000005</v>
      </c>
      <c r="L157">
        <v>2187815</v>
      </c>
      <c r="M157">
        <v>0</v>
      </c>
      <c r="N157">
        <v>4721855.1100000003</v>
      </c>
      <c r="O157">
        <v>60786323.409999996</v>
      </c>
      <c r="P157">
        <v>57900225.07</v>
      </c>
      <c r="Q157">
        <v>2320857</v>
      </c>
      <c r="R157">
        <v>0</v>
      </c>
      <c r="S157">
        <v>5998131.7999999998</v>
      </c>
      <c r="T157">
        <v>61544827.07</v>
      </c>
      <c r="U157">
        <v>60153139.20000001</v>
      </c>
      <c r="V157">
        <v>2236244</v>
      </c>
      <c r="W157">
        <v>0</v>
      </c>
      <c r="X157">
        <v>4019759.3</v>
      </c>
      <c r="Y157">
        <v>61375243.399999999</v>
      </c>
      <c r="Z157">
        <v>63484686.449999996</v>
      </c>
      <c r="AA157">
        <v>2307835</v>
      </c>
      <c r="AB157">
        <v>0</v>
      </c>
      <c r="AC157">
        <v>4133924.68</v>
      </c>
      <c r="AD157">
        <v>65393400.719999999</v>
      </c>
      <c r="AE157">
        <v>65225021.859999999</v>
      </c>
      <c r="AF157">
        <v>2448847</v>
      </c>
      <c r="AZ157">
        <v>3330</v>
      </c>
      <c r="BA157" t="s">
        <v>351</v>
      </c>
      <c r="BB157">
        <v>3839036.09</v>
      </c>
      <c r="BC157">
        <v>3845522.99</v>
      </c>
      <c r="BD157">
        <v>120630</v>
      </c>
      <c r="BG157">
        <v>3330</v>
      </c>
      <c r="BH157" t="s">
        <v>351</v>
      </c>
      <c r="BI157">
        <v>0</v>
      </c>
      <c r="BJ157">
        <v>796236.99</v>
      </c>
    </row>
    <row r="158" spans="1:62" x14ac:dyDescent="0.25">
      <c r="A158">
        <v>3312</v>
      </c>
      <c r="B158" t="s">
        <v>350</v>
      </c>
      <c r="C158">
        <v>0</v>
      </c>
      <c r="D158">
        <v>3999996.45</v>
      </c>
      <c r="E158">
        <v>20459243.07</v>
      </c>
      <c r="F158">
        <v>21096083.729999997</v>
      </c>
      <c r="G158">
        <v>831724</v>
      </c>
      <c r="H158">
        <v>0</v>
      </c>
      <c r="I158">
        <v>2852731.31</v>
      </c>
      <c r="J158">
        <v>20446422.440000001</v>
      </c>
      <c r="K158">
        <v>21360605.009999998</v>
      </c>
      <c r="L158">
        <v>902280</v>
      </c>
      <c r="M158">
        <v>0</v>
      </c>
      <c r="N158">
        <v>3500799.96</v>
      </c>
      <c r="O158">
        <v>21718727.890000001</v>
      </c>
      <c r="P158">
        <v>20788531.949999999</v>
      </c>
      <c r="Q158">
        <v>901008</v>
      </c>
      <c r="R158">
        <v>0</v>
      </c>
      <c r="S158">
        <v>3293392.44</v>
      </c>
      <c r="T158">
        <v>20434100.559999999</v>
      </c>
      <c r="U158">
        <v>20351994.140000001</v>
      </c>
      <c r="V158">
        <v>809064</v>
      </c>
      <c r="W158">
        <v>0</v>
      </c>
      <c r="X158">
        <v>1950481.7</v>
      </c>
      <c r="Y158">
        <v>19787987.27</v>
      </c>
      <c r="Z158">
        <v>21321967.889999997</v>
      </c>
      <c r="AA158">
        <v>806756</v>
      </c>
      <c r="AB158">
        <v>0</v>
      </c>
      <c r="AC158">
        <v>1247310.6399999999</v>
      </c>
      <c r="AD158">
        <v>20949463.640000001</v>
      </c>
      <c r="AE158">
        <v>21519525.719999999</v>
      </c>
      <c r="AF158">
        <v>838438</v>
      </c>
      <c r="AZ158">
        <v>3348</v>
      </c>
      <c r="BA158" t="s">
        <v>352</v>
      </c>
      <c r="BB158">
        <v>4957256.93</v>
      </c>
      <c r="BC158">
        <v>5021903.03</v>
      </c>
      <c r="BD158">
        <v>184051</v>
      </c>
      <c r="BG158">
        <v>3348</v>
      </c>
      <c r="BH158" t="s">
        <v>352</v>
      </c>
      <c r="BI158">
        <v>0</v>
      </c>
      <c r="BJ158">
        <v>724195.8</v>
      </c>
    </row>
    <row r="159" spans="1:62" x14ac:dyDescent="0.25">
      <c r="A159">
        <v>3330</v>
      </c>
      <c r="B159" t="s">
        <v>351</v>
      </c>
      <c r="C159">
        <v>4116.25</v>
      </c>
      <c r="D159">
        <v>26628.77</v>
      </c>
      <c r="E159">
        <v>3228106.01</v>
      </c>
      <c r="F159">
        <v>3171072.72</v>
      </c>
      <c r="G159">
        <v>118474</v>
      </c>
      <c r="H159">
        <v>0</v>
      </c>
      <c r="I159">
        <v>-100561.5</v>
      </c>
      <c r="J159">
        <v>3199661.59</v>
      </c>
      <c r="K159">
        <v>3274978.2399999998</v>
      </c>
      <c r="L159">
        <v>131272</v>
      </c>
      <c r="M159">
        <v>0</v>
      </c>
      <c r="N159">
        <v>330197.89</v>
      </c>
      <c r="O159">
        <v>3791872.98</v>
      </c>
      <c r="P159">
        <v>3369137.9</v>
      </c>
      <c r="Q159">
        <v>133673</v>
      </c>
      <c r="R159">
        <v>0</v>
      </c>
      <c r="S159">
        <v>1015265.01</v>
      </c>
      <c r="T159">
        <v>3933980.87</v>
      </c>
      <c r="U159">
        <v>3315934.44</v>
      </c>
      <c r="V159">
        <v>118555</v>
      </c>
      <c r="W159">
        <v>0</v>
      </c>
      <c r="X159">
        <v>961288.45</v>
      </c>
      <c r="Y159">
        <v>3640744.72</v>
      </c>
      <c r="Z159">
        <v>3727680.52</v>
      </c>
      <c r="AA159">
        <v>120630</v>
      </c>
      <c r="AB159">
        <v>0</v>
      </c>
      <c r="AC159">
        <v>919898.56</v>
      </c>
      <c r="AD159">
        <v>3839036.09</v>
      </c>
      <c r="AE159">
        <v>3845522.99</v>
      </c>
      <c r="AF159">
        <v>132305</v>
      </c>
      <c r="AZ159">
        <v>3375</v>
      </c>
      <c r="BA159" t="s">
        <v>353</v>
      </c>
      <c r="BB159">
        <v>18098452.789999999</v>
      </c>
      <c r="BC159">
        <v>18254010.490000002</v>
      </c>
      <c r="BD159">
        <v>686596</v>
      </c>
      <c r="BG159">
        <v>3375</v>
      </c>
      <c r="BH159" t="s">
        <v>353</v>
      </c>
      <c r="BI159">
        <v>0</v>
      </c>
      <c r="BJ159">
        <v>971334.23</v>
      </c>
    </row>
    <row r="160" spans="1:62" x14ac:dyDescent="0.25">
      <c r="A160">
        <v>3348</v>
      </c>
      <c r="B160" t="s">
        <v>352</v>
      </c>
      <c r="C160">
        <v>0</v>
      </c>
      <c r="D160">
        <v>401296.11</v>
      </c>
      <c r="E160">
        <v>4366441.43</v>
      </c>
      <c r="F160">
        <v>4286605.75</v>
      </c>
      <c r="G160">
        <v>165044</v>
      </c>
      <c r="H160">
        <v>0</v>
      </c>
      <c r="I160">
        <v>272732.17</v>
      </c>
      <c r="J160">
        <v>4225945.32</v>
      </c>
      <c r="K160">
        <v>4310761.95</v>
      </c>
      <c r="L160">
        <v>179835</v>
      </c>
      <c r="M160">
        <v>0</v>
      </c>
      <c r="N160">
        <v>456014.2</v>
      </c>
      <c r="O160">
        <v>4766437.71</v>
      </c>
      <c r="P160">
        <v>4580709.6000000006</v>
      </c>
      <c r="Q160">
        <v>191424</v>
      </c>
      <c r="R160">
        <v>0</v>
      </c>
      <c r="S160">
        <v>692134.74</v>
      </c>
      <c r="T160">
        <v>4900396.8600000003</v>
      </c>
      <c r="U160">
        <v>4638038.7799999993</v>
      </c>
      <c r="V160">
        <v>178796</v>
      </c>
      <c r="W160">
        <v>0</v>
      </c>
      <c r="X160">
        <v>784312.19</v>
      </c>
      <c r="Y160">
        <v>4914255.82</v>
      </c>
      <c r="Z160">
        <v>4809711.0600000005</v>
      </c>
      <c r="AA160">
        <v>184051</v>
      </c>
      <c r="AB160">
        <v>0</v>
      </c>
      <c r="AC160">
        <v>679745.2</v>
      </c>
      <c r="AD160">
        <v>4957256.93</v>
      </c>
      <c r="AE160">
        <v>5021903.03</v>
      </c>
      <c r="AF160">
        <v>188895</v>
      </c>
      <c r="AZ160">
        <v>3420</v>
      </c>
      <c r="BA160" t="s">
        <v>354</v>
      </c>
      <c r="BB160">
        <v>6549979.9100000001</v>
      </c>
      <c r="BC160">
        <v>6656872.8000000007</v>
      </c>
      <c r="BD160">
        <v>224906</v>
      </c>
      <c r="BG160">
        <v>3420</v>
      </c>
      <c r="BH160" t="s">
        <v>354</v>
      </c>
      <c r="BI160">
        <v>0</v>
      </c>
      <c r="BJ160">
        <v>1502798.25</v>
      </c>
    </row>
    <row r="161" spans="1:62" x14ac:dyDescent="0.25">
      <c r="A161">
        <v>3375</v>
      </c>
      <c r="B161" t="s">
        <v>353</v>
      </c>
      <c r="C161">
        <v>0</v>
      </c>
      <c r="D161">
        <v>182934.32</v>
      </c>
      <c r="E161">
        <v>16693085.289999999</v>
      </c>
      <c r="F161">
        <v>17313673.739999998</v>
      </c>
      <c r="G161">
        <v>686326</v>
      </c>
      <c r="H161">
        <v>0</v>
      </c>
      <c r="I161">
        <v>-590010.24</v>
      </c>
      <c r="J161">
        <v>16112074.07</v>
      </c>
      <c r="K161">
        <v>16810364.459999997</v>
      </c>
      <c r="L161">
        <v>734903</v>
      </c>
      <c r="M161">
        <v>0</v>
      </c>
      <c r="N161">
        <v>164959.01</v>
      </c>
      <c r="O161">
        <v>17793836.859999999</v>
      </c>
      <c r="P161">
        <v>16955197.659999996</v>
      </c>
      <c r="Q161">
        <v>760660</v>
      </c>
      <c r="R161">
        <v>0</v>
      </c>
      <c r="S161">
        <v>1241186.48</v>
      </c>
      <c r="T161">
        <v>18029975.41</v>
      </c>
      <c r="U161">
        <v>16822041.329999998</v>
      </c>
      <c r="V161">
        <v>687382</v>
      </c>
      <c r="W161">
        <v>0</v>
      </c>
      <c r="X161">
        <v>1445190.02</v>
      </c>
      <c r="Y161">
        <v>17528102.16</v>
      </c>
      <c r="Z161">
        <v>17152145.020000003</v>
      </c>
      <c r="AA161">
        <v>686596</v>
      </c>
      <c r="AB161">
        <v>0</v>
      </c>
      <c r="AC161">
        <v>1168250.22</v>
      </c>
      <c r="AD161">
        <v>18098452.789999999</v>
      </c>
      <c r="AE161">
        <v>18254010.490000002</v>
      </c>
      <c r="AF161">
        <v>704814</v>
      </c>
      <c r="AZ161">
        <v>3465</v>
      </c>
      <c r="BA161" t="s">
        <v>355</v>
      </c>
      <c r="BB161">
        <v>3655931.49</v>
      </c>
      <c r="BC161">
        <v>3969567.35</v>
      </c>
      <c r="BD161">
        <v>133348</v>
      </c>
      <c r="BG161">
        <v>3465</v>
      </c>
      <c r="BH161" t="s">
        <v>355</v>
      </c>
      <c r="BI161">
        <v>0</v>
      </c>
      <c r="BJ161">
        <v>520621.56</v>
      </c>
    </row>
    <row r="162" spans="1:62" x14ac:dyDescent="0.25">
      <c r="A162">
        <v>3420</v>
      </c>
      <c r="B162" t="s">
        <v>354</v>
      </c>
      <c r="C162">
        <v>0</v>
      </c>
      <c r="D162">
        <v>419034.77</v>
      </c>
      <c r="E162">
        <v>6343289.3600000003</v>
      </c>
      <c r="F162">
        <v>6267300.209999999</v>
      </c>
      <c r="G162">
        <v>224556</v>
      </c>
      <c r="H162">
        <v>0</v>
      </c>
      <c r="I162">
        <v>473225.56</v>
      </c>
      <c r="J162">
        <v>6332989.3399999999</v>
      </c>
      <c r="K162">
        <v>6178286.8800000008</v>
      </c>
      <c r="L162">
        <v>254791</v>
      </c>
      <c r="M162">
        <v>0</v>
      </c>
      <c r="N162">
        <v>1093130.31</v>
      </c>
      <c r="O162">
        <v>7012333.6399999997</v>
      </c>
      <c r="P162">
        <v>6144176.5800000001</v>
      </c>
      <c r="Q162">
        <v>260133</v>
      </c>
      <c r="R162">
        <v>0</v>
      </c>
      <c r="S162">
        <v>2054297.4</v>
      </c>
      <c r="T162">
        <v>7183994.9400000004</v>
      </c>
      <c r="U162">
        <v>6154145.8100000005</v>
      </c>
      <c r="V162">
        <v>231800</v>
      </c>
      <c r="W162">
        <v>0</v>
      </c>
      <c r="X162">
        <v>2050948.89</v>
      </c>
      <c r="Y162">
        <v>6301408.9500000002</v>
      </c>
      <c r="Z162">
        <v>6366197.9999999991</v>
      </c>
      <c r="AA162">
        <v>224906</v>
      </c>
      <c r="AB162">
        <v>0</v>
      </c>
      <c r="AC162">
        <v>1973671.29</v>
      </c>
      <c r="AD162">
        <v>6549979.9100000001</v>
      </c>
      <c r="AE162">
        <v>6656872.8000000007</v>
      </c>
      <c r="AF162">
        <v>234938</v>
      </c>
      <c r="AZ162">
        <v>3537</v>
      </c>
      <c r="BA162" t="s">
        <v>356</v>
      </c>
      <c r="BB162">
        <v>3293067.89</v>
      </c>
      <c r="BC162">
        <v>3888312.05</v>
      </c>
      <c r="BD162">
        <v>134922</v>
      </c>
      <c r="BG162">
        <v>3537</v>
      </c>
      <c r="BH162" t="s">
        <v>356</v>
      </c>
      <c r="BI162">
        <v>0</v>
      </c>
      <c r="BJ162">
        <v>-120608.1</v>
      </c>
    </row>
    <row r="163" spans="1:62" x14ac:dyDescent="0.25">
      <c r="A163">
        <v>3465</v>
      </c>
      <c r="B163" t="s">
        <v>355</v>
      </c>
      <c r="C163">
        <v>36171.83</v>
      </c>
      <c r="D163">
        <v>628933.29</v>
      </c>
      <c r="E163">
        <v>3522436.43</v>
      </c>
      <c r="F163">
        <v>3441139.5800000005</v>
      </c>
      <c r="G163">
        <v>125770</v>
      </c>
      <c r="H163">
        <v>43.29</v>
      </c>
      <c r="I163">
        <v>683857.16</v>
      </c>
      <c r="J163">
        <v>3650398.12</v>
      </c>
      <c r="K163">
        <v>3656648.15</v>
      </c>
      <c r="L163">
        <v>143966</v>
      </c>
      <c r="M163">
        <v>0</v>
      </c>
      <c r="N163">
        <v>947863.87</v>
      </c>
      <c r="O163">
        <v>3969177.73</v>
      </c>
      <c r="P163">
        <v>3681056.4499999997</v>
      </c>
      <c r="Q163">
        <v>146001</v>
      </c>
      <c r="R163">
        <v>0</v>
      </c>
      <c r="S163">
        <v>1158327.6599999999</v>
      </c>
      <c r="T163">
        <v>3917405.96</v>
      </c>
      <c r="U163">
        <v>3712049.54</v>
      </c>
      <c r="V163">
        <v>133362</v>
      </c>
      <c r="W163">
        <v>0</v>
      </c>
      <c r="X163">
        <v>1320634.79</v>
      </c>
      <c r="Y163">
        <v>3884913.08</v>
      </c>
      <c r="Z163">
        <v>3751684.58</v>
      </c>
      <c r="AA163">
        <v>133348</v>
      </c>
      <c r="AB163">
        <v>0</v>
      </c>
      <c r="AC163">
        <v>961308.27</v>
      </c>
      <c r="AD163">
        <v>3655931.49</v>
      </c>
      <c r="AE163">
        <v>3969567.35</v>
      </c>
      <c r="AF163">
        <v>133787</v>
      </c>
      <c r="AZ163">
        <v>3555</v>
      </c>
      <c r="BA163" t="s">
        <v>357</v>
      </c>
      <c r="BB163">
        <v>6174168.6500000004</v>
      </c>
      <c r="BC163">
        <v>6210293.5799999991</v>
      </c>
      <c r="BD163">
        <v>238053</v>
      </c>
      <c r="BG163">
        <v>3555</v>
      </c>
      <c r="BH163" t="s">
        <v>357</v>
      </c>
      <c r="BI163">
        <v>0</v>
      </c>
      <c r="BJ163">
        <v>182045.45</v>
      </c>
    </row>
    <row r="164" spans="1:62" x14ac:dyDescent="0.25">
      <c r="A164">
        <v>3537</v>
      </c>
      <c r="B164" t="s">
        <v>356</v>
      </c>
      <c r="C164">
        <v>0</v>
      </c>
      <c r="D164">
        <v>134127.79</v>
      </c>
      <c r="E164">
        <v>3687320.63</v>
      </c>
      <c r="F164">
        <v>3443089.7199999997</v>
      </c>
      <c r="G164">
        <v>141358</v>
      </c>
      <c r="H164">
        <v>0</v>
      </c>
      <c r="I164">
        <v>182351.44</v>
      </c>
      <c r="J164">
        <v>3583420.08</v>
      </c>
      <c r="K164">
        <v>3638937.13</v>
      </c>
      <c r="L164">
        <v>151073</v>
      </c>
      <c r="M164">
        <v>0</v>
      </c>
      <c r="N164">
        <v>-37959.839999999997</v>
      </c>
      <c r="O164">
        <v>3951014.11</v>
      </c>
      <c r="P164">
        <v>3564290.1</v>
      </c>
      <c r="Q164">
        <v>152230</v>
      </c>
      <c r="R164">
        <v>0</v>
      </c>
      <c r="S164">
        <v>888270.4</v>
      </c>
      <c r="T164">
        <v>3986189.46</v>
      </c>
      <c r="U164">
        <v>3668112.8000000003</v>
      </c>
      <c r="V164">
        <v>133784</v>
      </c>
      <c r="W164">
        <v>0</v>
      </c>
      <c r="X164">
        <v>671956.6</v>
      </c>
      <c r="Y164">
        <v>3712984.33</v>
      </c>
      <c r="Z164">
        <v>3936000.66</v>
      </c>
      <c r="AA164">
        <v>134922</v>
      </c>
      <c r="AB164">
        <v>0</v>
      </c>
      <c r="AC164">
        <v>36853.69</v>
      </c>
      <c r="AD164">
        <v>3293067.89</v>
      </c>
      <c r="AE164">
        <v>3888312.05</v>
      </c>
      <c r="AF164">
        <v>138765</v>
      </c>
      <c r="AZ164">
        <v>3600</v>
      </c>
      <c r="BA164" t="s">
        <v>358</v>
      </c>
      <c r="BB164">
        <v>19697435.25</v>
      </c>
      <c r="BC164">
        <v>19683284.259999998</v>
      </c>
      <c r="BD164">
        <v>828651</v>
      </c>
      <c r="BG164">
        <v>3600</v>
      </c>
      <c r="BH164" t="s">
        <v>358</v>
      </c>
      <c r="BI164">
        <v>0</v>
      </c>
      <c r="BJ164">
        <v>3013325.25</v>
      </c>
    </row>
    <row r="165" spans="1:62" x14ac:dyDescent="0.25">
      <c r="A165">
        <v>3555</v>
      </c>
      <c r="B165" t="s">
        <v>357</v>
      </c>
      <c r="C165">
        <v>0</v>
      </c>
      <c r="D165">
        <v>191892.68</v>
      </c>
      <c r="E165">
        <v>5515923.1500000004</v>
      </c>
      <c r="F165">
        <v>5328274.379999999</v>
      </c>
      <c r="G165">
        <v>220023</v>
      </c>
      <c r="H165">
        <v>0</v>
      </c>
      <c r="I165">
        <v>-284873.02</v>
      </c>
      <c r="J165">
        <v>5071385.0199999996</v>
      </c>
      <c r="K165">
        <v>5473924.1299999999</v>
      </c>
      <c r="L165">
        <v>239356</v>
      </c>
      <c r="M165">
        <v>0</v>
      </c>
      <c r="N165">
        <v>-392269.08</v>
      </c>
      <c r="O165">
        <v>5524827.7400000002</v>
      </c>
      <c r="P165">
        <v>5534867.4900000002</v>
      </c>
      <c r="Q165">
        <v>246838</v>
      </c>
      <c r="R165">
        <v>0</v>
      </c>
      <c r="S165">
        <v>28881.79</v>
      </c>
      <c r="T165">
        <v>6236145.1600000001</v>
      </c>
      <c r="U165">
        <v>5724295.7200000016</v>
      </c>
      <c r="V165">
        <v>237875</v>
      </c>
      <c r="W165">
        <v>0</v>
      </c>
      <c r="X165">
        <v>371623.38</v>
      </c>
      <c r="Y165">
        <v>6153970.5700000003</v>
      </c>
      <c r="Z165">
        <v>5744168.5600000005</v>
      </c>
      <c r="AA165">
        <v>238053</v>
      </c>
      <c r="AB165">
        <v>0</v>
      </c>
      <c r="AC165">
        <v>227876.83</v>
      </c>
      <c r="AD165">
        <v>6174168.6500000004</v>
      </c>
      <c r="AE165">
        <v>6210293.5799999991</v>
      </c>
      <c r="AF165">
        <v>247878</v>
      </c>
      <c r="AZ165">
        <v>3609</v>
      </c>
      <c r="BA165" t="s">
        <v>359</v>
      </c>
      <c r="BB165">
        <v>4499587.22</v>
      </c>
      <c r="BC165">
        <v>4597107.41</v>
      </c>
      <c r="BD165">
        <v>154981</v>
      </c>
      <c r="BG165">
        <v>3609</v>
      </c>
      <c r="BH165" t="s">
        <v>359</v>
      </c>
      <c r="BI165">
        <v>0</v>
      </c>
      <c r="BJ165">
        <v>946770.11</v>
      </c>
    </row>
    <row r="166" spans="1:62" x14ac:dyDescent="0.25">
      <c r="A166">
        <v>3600</v>
      </c>
      <c r="B166" t="s">
        <v>358</v>
      </c>
      <c r="C166">
        <v>0</v>
      </c>
      <c r="D166">
        <v>1032896.16</v>
      </c>
      <c r="E166">
        <v>17383294.27</v>
      </c>
      <c r="F166">
        <v>17425866.049999997</v>
      </c>
      <c r="G166">
        <v>804981</v>
      </c>
      <c r="H166">
        <v>0</v>
      </c>
      <c r="I166">
        <v>612870.67000000004</v>
      </c>
      <c r="J166">
        <v>17543336.010000002</v>
      </c>
      <c r="K166">
        <v>17809912.760000002</v>
      </c>
      <c r="L166">
        <v>905931</v>
      </c>
      <c r="M166">
        <v>0</v>
      </c>
      <c r="N166">
        <v>2165112.7000000002</v>
      </c>
      <c r="O166">
        <v>18826587.960000001</v>
      </c>
      <c r="P166">
        <v>17390877.5</v>
      </c>
      <c r="Q166">
        <v>913065</v>
      </c>
      <c r="R166">
        <v>0</v>
      </c>
      <c r="S166">
        <v>2838621.05</v>
      </c>
      <c r="T166">
        <v>18611568.960000001</v>
      </c>
      <c r="U166">
        <v>17918563.780000001</v>
      </c>
      <c r="V166">
        <v>826793</v>
      </c>
      <c r="W166">
        <v>0</v>
      </c>
      <c r="X166">
        <v>2959276.32</v>
      </c>
      <c r="Y166">
        <v>18689736.34</v>
      </c>
      <c r="Z166">
        <v>18571974.080000002</v>
      </c>
      <c r="AA166">
        <v>828651</v>
      </c>
      <c r="AB166">
        <v>0</v>
      </c>
      <c r="AC166">
        <v>2999808.67</v>
      </c>
      <c r="AD166">
        <v>19697435.25</v>
      </c>
      <c r="AE166">
        <v>19683284.259999998</v>
      </c>
      <c r="AF166">
        <v>885980</v>
      </c>
      <c r="AZ166">
        <v>3645</v>
      </c>
      <c r="BA166" t="s">
        <v>360</v>
      </c>
      <c r="BB166">
        <v>28788222.329999998</v>
      </c>
      <c r="BC166">
        <v>29514766.419999998</v>
      </c>
      <c r="BD166">
        <v>996491</v>
      </c>
      <c r="BG166">
        <v>3645</v>
      </c>
      <c r="BH166" t="s">
        <v>360</v>
      </c>
      <c r="BI166">
        <v>0</v>
      </c>
      <c r="BJ166">
        <v>5057256.8499999996</v>
      </c>
    </row>
    <row r="167" spans="1:62" x14ac:dyDescent="0.25">
      <c r="A167">
        <v>3609</v>
      </c>
      <c r="B167" t="s">
        <v>359</v>
      </c>
      <c r="C167">
        <v>0</v>
      </c>
      <c r="D167">
        <v>636265.89</v>
      </c>
      <c r="E167">
        <v>4142321.8</v>
      </c>
      <c r="F167">
        <v>3930647.3499999996</v>
      </c>
      <c r="G167">
        <v>131964</v>
      </c>
      <c r="H167">
        <v>0</v>
      </c>
      <c r="I167">
        <v>628230.43000000005</v>
      </c>
      <c r="J167">
        <v>4082211.75</v>
      </c>
      <c r="K167">
        <v>3973424.9100000006</v>
      </c>
      <c r="L167">
        <v>148880</v>
      </c>
      <c r="M167">
        <v>0</v>
      </c>
      <c r="N167">
        <v>954802.24</v>
      </c>
      <c r="O167">
        <v>4369844.16</v>
      </c>
      <c r="P167">
        <v>4019418.32</v>
      </c>
      <c r="Q167">
        <v>159796</v>
      </c>
      <c r="R167">
        <v>0</v>
      </c>
      <c r="S167">
        <v>1254744.6100000001</v>
      </c>
      <c r="T167">
        <v>4639094.2</v>
      </c>
      <c r="U167">
        <v>4306707.8099999996</v>
      </c>
      <c r="V167">
        <v>145017</v>
      </c>
      <c r="W167">
        <v>0</v>
      </c>
      <c r="X167">
        <v>1243743.69</v>
      </c>
      <c r="Y167">
        <v>4438245.4800000004</v>
      </c>
      <c r="Z167">
        <v>4489669.3999999994</v>
      </c>
      <c r="AA167">
        <v>154981</v>
      </c>
      <c r="AB167">
        <v>0</v>
      </c>
      <c r="AC167">
        <v>1181021.76</v>
      </c>
      <c r="AD167">
        <v>4499587.22</v>
      </c>
      <c r="AE167">
        <v>4597107.41</v>
      </c>
      <c r="AF167">
        <v>159243</v>
      </c>
      <c r="AZ167">
        <v>3715</v>
      </c>
      <c r="BA167" t="s">
        <v>361</v>
      </c>
      <c r="BB167">
        <v>67861320.909999996</v>
      </c>
      <c r="BC167">
        <v>68501214.859999985</v>
      </c>
      <c r="BD167">
        <v>2620028</v>
      </c>
      <c r="BG167">
        <v>3715</v>
      </c>
      <c r="BH167" t="s">
        <v>361</v>
      </c>
      <c r="BI167">
        <v>521725.94</v>
      </c>
      <c r="BJ167">
        <v>8091108.21</v>
      </c>
    </row>
    <row r="168" spans="1:62" x14ac:dyDescent="0.25">
      <c r="A168">
        <v>3645</v>
      </c>
      <c r="B168" t="s">
        <v>360</v>
      </c>
      <c r="C168">
        <v>0</v>
      </c>
      <c r="D168">
        <v>3284811.73</v>
      </c>
      <c r="E168">
        <v>26031970.52</v>
      </c>
      <c r="F168">
        <v>24949509.68</v>
      </c>
      <c r="G168">
        <v>911024</v>
      </c>
      <c r="H168">
        <v>0</v>
      </c>
      <c r="I168">
        <v>4022958.66</v>
      </c>
      <c r="J168">
        <v>26732544.27</v>
      </c>
      <c r="K168">
        <v>25761847.219999999</v>
      </c>
      <c r="L168">
        <v>1030352</v>
      </c>
      <c r="M168">
        <v>0</v>
      </c>
      <c r="N168">
        <v>4091438.61</v>
      </c>
      <c r="O168">
        <v>27473989.800000001</v>
      </c>
      <c r="P168">
        <v>26921430.300000001</v>
      </c>
      <c r="Q168">
        <v>1076998</v>
      </c>
      <c r="R168">
        <v>0</v>
      </c>
      <c r="S168">
        <v>5329631.4400000004</v>
      </c>
      <c r="T168">
        <v>28908540.870000001</v>
      </c>
      <c r="U168">
        <v>27441132.539999999</v>
      </c>
      <c r="V168">
        <v>985731</v>
      </c>
      <c r="W168">
        <v>0</v>
      </c>
      <c r="X168">
        <v>6160159.9400000004</v>
      </c>
      <c r="Y168">
        <v>29311373.48</v>
      </c>
      <c r="Z168">
        <v>28306350.970000003</v>
      </c>
      <c r="AA168">
        <v>996491</v>
      </c>
      <c r="AB168">
        <v>0</v>
      </c>
      <c r="AC168">
        <v>5675134.54</v>
      </c>
      <c r="AD168">
        <v>28788222.329999998</v>
      </c>
      <c r="AE168">
        <v>29514766.419999998</v>
      </c>
      <c r="AF168">
        <v>1051121</v>
      </c>
      <c r="AZ168">
        <v>3744</v>
      </c>
      <c r="BA168" t="s">
        <v>362</v>
      </c>
      <c r="BB168">
        <v>6359371.8600000003</v>
      </c>
      <c r="BC168">
        <v>6955577.46</v>
      </c>
      <c r="BD168">
        <v>243802</v>
      </c>
      <c r="BG168">
        <v>3744</v>
      </c>
      <c r="BH168" t="s">
        <v>362</v>
      </c>
      <c r="BI168">
        <v>9400.94</v>
      </c>
      <c r="BJ168">
        <v>739690.79</v>
      </c>
    </row>
    <row r="169" spans="1:62" x14ac:dyDescent="0.25">
      <c r="A169">
        <v>3715</v>
      </c>
      <c r="B169" t="s">
        <v>361</v>
      </c>
      <c r="C169">
        <v>0</v>
      </c>
      <c r="D169">
        <v>4691950.43</v>
      </c>
      <c r="E169">
        <v>58307183.649999999</v>
      </c>
      <c r="F169">
        <v>56458360.469999991</v>
      </c>
      <c r="G169">
        <v>2285973</v>
      </c>
      <c r="H169">
        <v>0</v>
      </c>
      <c r="I169">
        <v>5172927.74</v>
      </c>
      <c r="J169">
        <v>58891451.149999999</v>
      </c>
      <c r="K169">
        <v>57901126.639999993</v>
      </c>
      <c r="L169">
        <v>2582490</v>
      </c>
      <c r="M169">
        <v>110941</v>
      </c>
      <c r="N169">
        <v>7926474.6500000004</v>
      </c>
      <c r="O169">
        <v>63837338.979999997</v>
      </c>
      <c r="P169">
        <v>60143815.230000012</v>
      </c>
      <c r="Q169">
        <v>2703997</v>
      </c>
      <c r="R169">
        <v>0</v>
      </c>
      <c r="S169">
        <v>10234147.5</v>
      </c>
      <c r="T169">
        <v>64661306.259999998</v>
      </c>
      <c r="U169">
        <v>62700237.399999999</v>
      </c>
      <c r="V169">
        <v>2543681</v>
      </c>
      <c r="W169">
        <v>443260.92</v>
      </c>
      <c r="X169">
        <v>9512397.6500000004</v>
      </c>
      <c r="Y169">
        <v>65181992.840000004</v>
      </c>
      <c r="Z169">
        <v>65290796.239999995</v>
      </c>
      <c r="AA169">
        <v>2620028</v>
      </c>
      <c r="AB169">
        <v>484639.47</v>
      </c>
      <c r="AC169">
        <v>8797941.2200000007</v>
      </c>
      <c r="AD169">
        <v>67861320.909999996</v>
      </c>
      <c r="AE169">
        <v>68501214.859999985</v>
      </c>
      <c r="AF169">
        <v>2777361</v>
      </c>
      <c r="AZ169">
        <v>3798</v>
      </c>
      <c r="BA169" t="s">
        <v>363</v>
      </c>
      <c r="BB169">
        <v>6243144.3499999996</v>
      </c>
      <c r="BC169">
        <v>6098128.9199999999</v>
      </c>
      <c r="BD169">
        <v>225998</v>
      </c>
      <c r="BG169">
        <v>3798</v>
      </c>
      <c r="BH169" t="s">
        <v>363</v>
      </c>
      <c r="BI169">
        <v>0</v>
      </c>
      <c r="BJ169">
        <v>814593.68</v>
      </c>
    </row>
    <row r="170" spans="1:62" x14ac:dyDescent="0.25">
      <c r="A170">
        <v>3744</v>
      </c>
      <c r="B170" t="s">
        <v>362</v>
      </c>
      <c r="C170">
        <v>0</v>
      </c>
      <c r="D170">
        <v>336937.93</v>
      </c>
      <c r="E170">
        <v>5938853.4199999999</v>
      </c>
      <c r="F170">
        <v>5780206.9100000001</v>
      </c>
      <c r="G170">
        <v>226561</v>
      </c>
      <c r="H170">
        <v>0</v>
      </c>
      <c r="I170">
        <v>730166.27</v>
      </c>
      <c r="J170">
        <v>6072149</v>
      </c>
      <c r="K170">
        <v>5651446.6600000001</v>
      </c>
      <c r="L170">
        <v>257435</v>
      </c>
      <c r="M170">
        <v>9658.11</v>
      </c>
      <c r="N170">
        <v>1223735.77</v>
      </c>
      <c r="O170">
        <v>6351624.4500000002</v>
      </c>
      <c r="P170">
        <v>5769363.8300000001</v>
      </c>
      <c r="Q170">
        <v>258079</v>
      </c>
      <c r="R170">
        <v>46268.58</v>
      </c>
      <c r="S170">
        <v>1643639.49</v>
      </c>
      <c r="T170">
        <v>6574114.8200000003</v>
      </c>
      <c r="U170">
        <v>6110496.1499999994</v>
      </c>
      <c r="V170">
        <v>243885</v>
      </c>
      <c r="W170">
        <v>45180.76</v>
      </c>
      <c r="X170">
        <v>1162107.48</v>
      </c>
      <c r="Y170">
        <v>6102726.0499999998</v>
      </c>
      <c r="Z170">
        <v>6669314.2700000005</v>
      </c>
      <c r="AA170">
        <v>243802</v>
      </c>
      <c r="AB170">
        <v>8201.44</v>
      </c>
      <c r="AC170">
        <v>628871</v>
      </c>
      <c r="AD170">
        <v>6359371.8600000003</v>
      </c>
      <c r="AE170">
        <v>6955577.46</v>
      </c>
      <c r="AF170">
        <v>258183</v>
      </c>
      <c r="AZ170">
        <v>3816</v>
      </c>
      <c r="BA170" t="s">
        <v>364</v>
      </c>
      <c r="BB170">
        <v>4719715.38</v>
      </c>
      <c r="BC170">
        <v>4697703.6500000004</v>
      </c>
      <c r="BD170">
        <v>157134</v>
      </c>
      <c r="BG170">
        <v>3816</v>
      </c>
      <c r="BH170" t="s">
        <v>364</v>
      </c>
      <c r="BI170">
        <v>0</v>
      </c>
      <c r="BJ170">
        <v>840629.79</v>
      </c>
    </row>
    <row r="171" spans="1:62" x14ac:dyDescent="0.25">
      <c r="A171">
        <v>3798</v>
      </c>
      <c r="B171" t="s">
        <v>363</v>
      </c>
      <c r="C171">
        <v>27678.85</v>
      </c>
      <c r="D171">
        <v>457410.13</v>
      </c>
      <c r="E171">
        <v>6190730.75</v>
      </c>
      <c r="F171">
        <v>6216736.4700000007</v>
      </c>
      <c r="G171">
        <v>236006</v>
      </c>
      <c r="H171">
        <v>11972.48</v>
      </c>
      <c r="I171">
        <v>375945.84</v>
      </c>
      <c r="J171">
        <v>6125353.0700000003</v>
      </c>
      <c r="K171">
        <v>6203912.6799999997</v>
      </c>
      <c r="L171">
        <v>253808</v>
      </c>
      <c r="M171">
        <v>0</v>
      </c>
      <c r="N171">
        <v>650571.51</v>
      </c>
      <c r="O171">
        <v>6637040.6600000001</v>
      </c>
      <c r="P171">
        <v>6336471.7200000007</v>
      </c>
      <c r="Q171">
        <v>254899</v>
      </c>
      <c r="R171">
        <v>0</v>
      </c>
      <c r="S171">
        <v>1073720.8</v>
      </c>
      <c r="T171">
        <v>6728579.6100000003</v>
      </c>
      <c r="U171">
        <v>6319919.2199999997</v>
      </c>
      <c r="V171">
        <v>228599</v>
      </c>
      <c r="W171">
        <v>0</v>
      </c>
      <c r="X171">
        <v>1086132.77</v>
      </c>
      <c r="Y171">
        <v>6597023.1399999997</v>
      </c>
      <c r="Z171">
        <v>6600498.620000001</v>
      </c>
      <c r="AA171">
        <v>225998</v>
      </c>
      <c r="AB171">
        <v>0</v>
      </c>
      <c r="AC171">
        <v>1200179.25</v>
      </c>
      <c r="AD171">
        <v>6243144.3499999996</v>
      </c>
      <c r="AE171">
        <v>6098128.9199999999</v>
      </c>
      <c r="AF171">
        <v>231907</v>
      </c>
      <c r="AZ171">
        <v>3841</v>
      </c>
      <c r="BA171" t="s">
        <v>365</v>
      </c>
      <c r="BB171">
        <v>7607287.71</v>
      </c>
      <c r="BC171">
        <v>8126246.4399999995</v>
      </c>
      <c r="BD171">
        <v>300322</v>
      </c>
      <c r="BG171">
        <v>3841</v>
      </c>
      <c r="BH171" t="s">
        <v>365</v>
      </c>
      <c r="BI171">
        <v>0</v>
      </c>
      <c r="BJ171">
        <v>1339849.06</v>
      </c>
    </row>
    <row r="172" spans="1:62" x14ac:dyDescent="0.25">
      <c r="A172">
        <v>3816</v>
      </c>
      <c r="B172" t="s">
        <v>364</v>
      </c>
      <c r="C172">
        <v>13082.4</v>
      </c>
      <c r="D172">
        <v>675421.91</v>
      </c>
      <c r="E172">
        <v>3830935.74</v>
      </c>
      <c r="F172">
        <v>3996440.63</v>
      </c>
      <c r="G172">
        <v>139660</v>
      </c>
      <c r="H172">
        <v>14649.36</v>
      </c>
      <c r="I172">
        <v>421819.38</v>
      </c>
      <c r="J172">
        <v>3977041.76</v>
      </c>
      <c r="K172">
        <v>4220687.43</v>
      </c>
      <c r="L172">
        <v>153772</v>
      </c>
      <c r="M172">
        <v>0</v>
      </c>
      <c r="N172">
        <v>504853.01</v>
      </c>
      <c r="O172">
        <v>4399518.75</v>
      </c>
      <c r="P172">
        <v>4305101.76</v>
      </c>
      <c r="Q172">
        <v>168011</v>
      </c>
      <c r="R172">
        <v>0</v>
      </c>
      <c r="S172">
        <v>849707.7</v>
      </c>
      <c r="T172">
        <v>4569336.49</v>
      </c>
      <c r="U172">
        <v>4213830.66</v>
      </c>
      <c r="V172">
        <v>153617</v>
      </c>
      <c r="W172">
        <v>0</v>
      </c>
      <c r="X172">
        <v>917170.94</v>
      </c>
      <c r="Y172">
        <v>4447811.83</v>
      </c>
      <c r="Z172">
        <v>4349625.9000000004</v>
      </c>
      <c r="AA172">
        <v>157134</v>
      </c>
      <c r="AB172">
        <v>0</v>
      </c>
      <c r="AC172">
        <v>911593.22</v>
      </c>
      <c r="AD172">
        <v>4719715.38</v>
      </c>
      <c r="AE172">
        <v>4697703.6500000004</v>
      </c>
      <c r="AF172">
        <v>168746</v>
      </c>
      <c r="AZ172">
        <v>3897</v>
      </c>
      <c r="BA172" t="s">
        <v>366</v>
      </c>
      <c r="BB172">
        <v>1144739.8999999999</v>
      </c>
      <c r="BC172">
        <v>1364699.12</v>
      </c>
      <c r="BD172">
        <v>33604</v>
      </c>
      <c r="BG172">
        <v>3897</v>
      </c>
      <c r="BH172" t="s">
        <v>366</v>
      </c>
      <c r="BI172">
        <v>0</v>
      </c>
      <c r="BJ172">
        <v>367006.89</v>
      </c>
    </row>
    <row r="173" spans="1:62" x14ac:dyDescent="0.25">
      <c r="A173">
        <v>3841</v>
      </c>
      <c r="B173" t="s">
        <v>365</v>
      </c>
      <c r="C173">
        <v>0</v>
      </c>
      <c r="D173">
        <v>2090080.19</v>
      </c>
      <c r="E173">
        <v>8181398.6600000001</v>
      </c>
      <c r="F173">
        <v>8060969.7699999996</v>
      </c>
      <c r="G173">
        <v>311337</v>
      </c>
      <c r="H173">
        <v>0</v>
      </c>
      <c r="I173">
        <v>1537563.12</v>
      </c>
      <c r="J173">
        <v>7647468.6500000004</v>
      </c>
      <c r="K173">
        <v>8169092.290000001</v>
      </c>
      <c r="L173">
        <v>330730</v>
      </c>
      <c r="M173">
        <v>0</v>
      </c>
      <c r="N173">
        <v>1527390.25</v>
      </c>
      <c r="O173">
        <v>8017396.6200000001</v>
      </c>
      <c r="P173">
        <v>7971673.1799999997</v>
      </c>
      <c r="Q173">
        <v>333886</v>
      </c>
      <c r="R173">
        <v>0</v>
      </c>
      <c r="S173">
        <v>2311541.11</v>
      </c>
      <c r="T173">
        <v>8702882.1500000004</v>
      </c>
      <c r="U173">
        <v>7884813.7399999993</v>
      </c>
      <c r="V173">
        <v>301360</v>
      </c>
      <c r="W173">
        <v>0</v>
      </c>
      <c r="X173">
        <v>1910430.51</v>
      </c>
      <c r="Y173">
        <v>7686455.5099999998</v>
      </c>
      <c r="Z173">
        <v>8082340.5200000005</v>
      </c>
      <c r="AA173">
        <v>300322</v>
      </c>
      <c r="AB173">
        <v>0</v>
      </c>
      <c r="AC173">
        <v>1342122.4099999999</v>
      </c>
      <c r="AD173">
        <v>7607287.71</v>
      </c>
      <c r="AE173">
        <v>8126246.4399999995</v>
      </c>
      <c r="AF173">
        <v>310017</v>
      </c>
      <c r="AZ173">
        <v>3906</v>
      </c>
      <c r="BA173" t="s">
        <v>367</v>
      </c>
      <c r="BB173">
        <v>4507267.41</v>
      </c>
      <c r="BC173">
        <v>5035163.92</v>
      </c>
      <c r="BD173">
        <v>164038</v>
      </c>
      <c r="BG173">
        <v>3906</v>
      </c>
      <c r="BH173" t="s">
        <v>367</v>
      </c>
      <c r="BI173">
        <v>0</v>
      </c>
      <c r="BJ173">
        <v>192863.86</v>
      </c>
    </row>
    <row r="174" spans="1:62" x14ac:dyDescent="0.25">
      <c r="A174">
        <v>3897</v>
      </c>
      <c r="B174" t="s">
        <v>366</v>
      </c>
      <c r="C174">
        <v>0</v>
      </c>
      <c r="D174">
        <v>159794.67000000001</v>
      </c>
      <c r="E174">
        <v>1166525.92</v>
      </c>
      <c r="F174">
        <v>1069603.5899999999</v>
      </c>
      <c r="G174">
        <v>35154</v>
      </c>
      <c r="H174">
        <v>0</v>
      </c>
      <c r="I174">
        <v>108178.71</v>
      </c>
      <c r="J174">
        <v>1117749.1000000001</v>
      </c>
      <c r="K174">
        <v>1171999.23</v>
      </c>
      <c r="L174">
        <v>37049</v>
      </c>
      <c r="M174">
        <v>0</v>
      </c>
      <c r="N174">
        <v>22438.639999999999</v>
      </c>
      <c r="O174">
        <v>1035982.56</v>
      </c>
      <c r="P174">
        <v>1111633.1300000001</v>
      </c>
      <c r="Q174">
        <v>37203</v>
      </c>
      <c r="R174">
        <v>0</v>
      </c>
      <c r="S174">
        <v>268017.43</v>
      </c>
      <c r="T174">
        <v>1137981.71</v>
      </c>
      <c r="U174">
        <v>892650.64999999991</v>
      </c>
      <c r="V174">
        <v>32655</v>
      </c>
      <c r="W174">
        <v>0</v>
      </c>
      <c r="X174">
        <v>599894.14</v>
      </c>
      <c r="Y174">
        <v>1200140.1299999999</v>
      </c>
      <c r="Z174">
        <v>818585.30999999994</v>
      </c>
      <c r="AA174">
        <v>33604</v>
      </c>
      <c r="AB174">
        <v>0</v>
      </c>
      <c r="AC174">
        <v>348588.96</v>
      </c>
      <c r="AD174">
        <v>1144739.8999999999</v>
      </c>
      <c r="AE174">
        <v>1364699.12</v>
      </c>
      <c r="AF174">
        <v>35888</v>
      </c>
      <c r="AZ174">
        <v>3942</v>
      </c>
      <c r="BA174" t="s">
        <v>368</v>
      </c>
      <c r="BB174">
        <v>6518752.8300000001</v>
      </c>
      <c r="BC174">
        <v>6252855.7999999998</v>
      </c>
      <c r="BD174">
        <v>236932</v>
      </c>
      <c r="BG174">
        <v>3942</v>
      </c>
      <c r="BH174" t="s">
        <v>368</v>
      </c>
      <c r="BI174">
        <v>0</v>
      </c>
      <c r="BJ174">
        <v>946463.62</v>
      </c>
    </row>
    <row r="175" spans="1:62" x14ac:dyDescent="0.25">
      <c r="A175">
        <v>3906</v>
      </c>
      <c r="B175" t="s">
        <v>367</v>
      </c>
      <c r="C175">
        <v>0</v>
      </c>
      <c r="D175">
        <v>466345.98</v>
      </c>
      <c r="E175">
        <v>4315213.45</v>
      </c>
      <c r="F175">
        <v>4604583.3600000003</v>
      </c>
      <c r="G175">
        <v>163657</v>
      </c>
      <c r="H175">
        <v>0</v>
      </c>
      <c r="I175">
        <v>277457.74</v>
      </c>
      <c r="J175">
        <v>4359239.33</v>
      </c>
      <c r="K175">
        <v>4513824.24</v>
      </c>
      <c r="L175">
        <v>184704</v>
      </c>
      <c r="M175">
        <v>0</v>
      </c>
      <c r="N175">
        <v>570729.89</v>
      </c>
      <c r="O175">
        <v>4711511.83</v>
      </c>
      <c r="P175">
        <v>4322239.16</v>
      </c>
      <c r="Q175">
        <v>182815</v>
      </c>
      <c r="R175">
        <v>0</v>
      </c>
      <c r="S175">
        <v>1010546.51</v>
      </c>
      <c r="T175">
        <v>4773992.38</v>
      </c>
      <c r="U175">
        <v>4318833.71</v>
      </c>
      <c r="V175">
        <v>164846</v>
      </c>
      <c r="W175">
        <v>0</v>
      </c>
      <c r="X175">
        <v>1084966.26</v>
      </c>
      <c r="Y175">
        <v>4707071.6100000003</v>
      </c>
      <c r="Z175">
        <v>4637121.5999999996</v>
      </c>
      <c r="AA175">
        <v>164038</v>
      </c>
      <c r="AB175">
        <v>0</v>
      </c>
      <c r="AC175">
        <v>561339.18999999994</v>
      </c>
      <c r="AD175">
        <v>4507267.41</v>
      </c>
      <c r="AE175">
        <v>5035163.92</v>
      </c>
      <c r="AF175">
        <v>169301</v>
      </c>
      <c r="AZ175">
        <v>4023</v>
      </c>
      <c r="BA175" t="s">
        <v>369</v>
      </c>
      <c r="BB175">
        <v>8087459.21</v>
      </c>
      <c r="BC175">
        <v>8384766.96</v>
      </c>
      <c r="BD175">
        <v>239845</v>
      </c>
      <c r="BG175">
        <v>4023</v>
      </c>
      <c r="BH175" t="s">
        <v>369</v>
      </c>
      <c r="BI175">
        <v>0</v>
      </c>
      <c r="BJ175">
        <v>1304415.96</v>
      </c>
    </row>
    <row r="176" spans="1:62" x14ac:dyDescent="0.25">
      <c r="A176">
        <v>3942</v>
      </c>
      <c r="B176" t="s">
        <v>368</v>
      </c>
      <c r="C176">
        <v>0</v>
      </c>
      <c r="D176">
        <v>380043.48</v>
      </c>
      <c r="E176">
        <v>5247757.08</v>
      </c>
      <c r="F176">
        <v>5108752.5100000007</v>
      </c>
      <c r="G176">
        <v>207737</v>
      </c>
      <c r="H176">
        <v>0</v>
      </c>
      <c r="I176">
        <v>177543.01</v>
      </c>
      <c r="J176">
        <v>5230763.51</v>
      </c>
      <c r="K176">
        <v>5391291.9199999999</v>
      </c>
      <c r="L176">
        <v>230760</v>
      </c>
      <c r="M176">
        <v>0</v>
      </c>
      <c r="N176">
        <v>326992.40000000002</v>
      </c>
      <c r="O176">
        <v>5609206.3200000003</v>
      </c>
      <c r="P176">
        <v>5401326.3100000005</v>
      </c>
      <c r="Q176">
        <v>242504</v>
      </c>
      <c r="R176">
        <v>0</v>
      </c>
      <c r="S176">
        <v>767760.95</v>
      </c>
      <c r="T176">
        <v>6138568.5199999996</v>
      </c>
      <c r="U176">
        <v>5747010.4900000002</v>
      </c>
      <c r="V176">
        <v>231651</v>
      </c>
      <c r="W176">
        <v>0</v>
      </c>
      <c r="X176">
        <v>985114.3</v>
      </c>
      <c r="Y176">
        <v>5971937.21</v>
      </c>
      <c r="Z176">
        <v>5743599.6200000001</v>
      </c>
      <c r="AA176">
        <v>236932</v>
      </c>
      <c r="AB176">
        <v>0</v>
      </c>
      <c r="AC176">
        <v>1204069.44</v>
      </c>
      <c r="AD176">
        <v>6518752.8300000001</v>
      </c>
      <c r="AE176">
        <v>6252855.7999999998</v>
      </c>
      <c r="AF176">
        <v>254460</v>
      </c>
      <c r="AZ176">
        <v>4033</v>
      </c>
      <c r="BA176" t="s">
        <v>610</v>
      </c>
      <c r="BB176">
        <v>8118432.1100000003</v>
      </c>
      <c r="BC176">
        <v>7969880.1400000006</v>
      </c>
      <c r="BD176">
        <v>285708</v>
      </c>
      <c r="BG176">
        <v>4033</v>
      </c>
      <c r="BH176" t="s">
        <v>610</v>
      </c>
      <c r="BI176">
        <v>0</v>
      </c>
      <c r="BJ176">
        <v>1260609.49</v>
      </c>
    </row>
    <row r="177" spans="1:62" x14ac:dyDescent="0.25">
      <c r="A177">
        <v>4023</v>
      </c>
      <c r="B177" t="s">
        <v>369</v>
      </c>
      <c r="C177">
        <v>0</v>
      </c>
      <c r="D177">
        <v>945934.83</v>
      </c>
      <c r="E177">
        <v>8680901.0299999993</v>
      </c>
      <c r="F177">
        <v>9077507.2599999998</v>
      </c>
      <c r="G177">
        <v>245093</v>
      </c>
      <c r="H177">
        <v>0</v>
      </c>
      <c r="I177">
        <v>878428.43</v>
      </c>
      <c r="J177">
        <v>8754415.8100000005</v>
      </c>
      <c r="K177">
        <v>8759662.620000001</v>
      </c>
      <c r="L177">
        <v>267593</v>
      </c>
      <c r="M177">
        <v>0</v>
      </c>
      <c r="N177">
        <v>1864534.08</v>
      </c>
      <c r="O177">
        <v>9563666.5099999998</v>
      </c>
      <c r="P177">
        <v>8515866.9100000001</v>
      </c>
      <c r="Q177">
        <v>267594</v>
      </c>
      <c r="R177">
        <v>0</v>
      </c>
      <c r="S177">
        <v>2109288.2599999998</v>
      </c>
      <c r="T177">
        <v>8861260.4399999995</v>
      </c>
      <c r="U177">
        <v>8668146.1699999999</v>
      </c>
      <c r="V177">
        <v>237865</v>
      </c>
      <c r="W177">
        <v>0</v>
      </c>
      <c r="X177">
        <v>1508953.75</v>
      </c>
      <c r="Y177">
        <v>8149462.0499999998</v>
      </c>
      <c r="Z177">
        <v>8765685.3999999985</v>
      </c>
      <c r="AA177">
        <v>239845</v>
      </c>
      <c r="AB177">
        <v>0</v>
      </c>
      <c r="AC177">
        <v>1190156.3999999999</v>
      </c>
      <c r="AD177">
        <v>8087459.21</v>
      </c>
      <c r="AE177">
        <v>8384766.96</v>
      </c>
      <c r="AF177">
        <v>251999</v>
      </c>
      <c r="AZ177">
        <v>4041</v>
      </c>
      <c r="BA177" t="s">
        <v>371</v>
      </c>
      <c r="BB177">
        <v>16343815.970000001</v>
      </c>
      <c r="BC177">
        <v>15819069.739999998</v>
      </c>
      <c r="BD177">
        <v>565757</v>
      </c>
      <c r="BG177">
        <v>4041</v>
      </c>
      <c r="BH177" t="s">
        <v>371</v>
      </c>
      <c r="BI177">
        <v>0</v>
      </c>
      <c r="BJ177">
        <v>3099936.47</v>
      </c>
    </row>
    <row r="178" spans="1:62" x14ac:dyDescent="0.25">
      <c r="A178">
        <v>4033</v>
      </c>
      <c r="B178" t="s">
        <v>370</v>
      </c>
      <c r="C178">
        <v>0</v>
      </c>
      <c r="D178">
        <v>1031128.44</v>
      </c>
      <c r="E178">
        <v>6049570.5599999996</v>
      </c>
      <c r="F178">
        <v>5701402.8300000001</v>
      </c>
      <c r="G178">
        <v>195971</v>
      </c>
      <c r="H178">
        <v>0</v>
      </c>
      <c r="I178">
        <v>958988.9</v>
      </c>
      <c r="J178">
        <v>5667576.5499999998</v>
      </c>
      <c r="K178">
        <v>5658803.9000000004</v>
      </c>
      <c r="L178">
        <v>213270</v>
      </c>
      <c r="M178">
        <v>0</v>
      </c>
      <c r="N178">
        <v>1408461.25</v>
      </c>
      <c r="O178">
        <v>6347625.75</v>
      </c>
      <c r="P178">
        <v>5835889.1399999997</v>
      </c>
      <c r="Q178">
        <v>214097</v>
      </c>
      <c r="R178">
        <v>0</v>
      </c>
      <c r="S178">
        <v>1901040.41</v>
      </c>
      <c r="T178">
        <v>6357710.1100000003</v>
      </c>
      <c r="U178">
        <v>5889311.6299999999</v>
      </c>
      <c r="V178">
        <v>190764</v>
      </c>
      <c r="W178">
        <v>0</v>
      </c>
      <c r="X178">
        <v>1458271.24</v>
      </c>
      <c r="Y178">
        <v>7898375.96</v>
      </c>
      <c r="Z178">
        <v>8711997.9900000002</v>
      </c>
      <c r="AA178">
        <v>285708</v>
      </c>
      <c r="AB178">
        <v>0</v>
      </c>
      <c r="AC178">
        <v>1520031.98</v>
      </c>
      <c r="AD178">
        <v>8118432.1100000003</v>
      </c>
      <c r="AE178">
        <v>7969880.1400000006</v>
      </c>
      <c r="AF178">
        <v>294661</v>
      </c>
      <c r="AZ178">
        <v>4043</v>
      </c>
      <c r="BA178" t="s">
        <v>372</v>
      </c>
      <c r="BB178">
        <v>7208314.2699999996</v>
      </c>
      <c r="BC178">
        <v>7376892.4500000002</v>
      </c>
      <c r="BD178">
        <v>283059</v>
      </c>
      <c r="BG178">
        <v>4043</v>
      </c>
      <c r="BH178" t="s">
        <v>372</v>
      </c>
      <c r="BI178">
        <v>0</v>
      </c>
      <c r="BJ178">
        <v>1301195.29</v>
      </c>
    </row>
    <row r="179" spans="1:62" x14ac:dyDescent="0.25">
      <c r="A179">
        <v>4041</v>
      </c>
      <c r="B179" t="s">
        <v>371</v>
      </c>
      <c r="C179">
        <v>0</v>
      </c>
      <c r="D179">
        <v>1752058.53</v>
      </c>
      <c r="E179">
        <v>15430195.35</v>
      </c>
      <c r="F179">
        <v>15466961.140000001</v>
      </c>
      <c r="G179">
        <v>559978</v>
      </c>
      <c r="H179">
        <v>0</v>
      </c>
      <c r="I179">
        <v>1112071.26</v>
      </c>
      <c r="J179">
        <v>15616811.68</v>
      </c>
      <c r="K179">
        <v>16275991.839999998</v>
      </c>
      <c r="L179">
        <v>615579</v>
      </c>
      <c r="M179">
        <v>0</v>
      </c>
      <c r="N179">
        <v>1675470.59</v>
      </c>
      <c r="O179">
        <v>16757532.34</v>
      </c>
      <c r="P179">
        <v>16178694.520000003</v>
      </c>
      <c r="Q179">
        <v>627756</v>
      </c>
      <c r="R179">
        <v>0</v>
      </c>
      <c r="S179">
        <v>2422390.35</v>
      </c>
      <c r="T179">
        <v>16305998.380000001</v>
      </c>
      <c r="U179">
        <v>15542726.040000001</v>
      </c>
      <c r="V179">
        <v>565100</v>
      </c>
      <c r="W179">
        <v>0</v>
      </c>
      <c r="X179">
        <v>2544049.52</v>
      </c>
      <c r="Y179">
        <v>15809742.85</v>
      </c>
      <c r="Z179">
        <v>15700155.799999999</v>
      </c>
      <c r="AA179">
        <v>565757</v>
      </c>
      <c r="AB179">
        <v>0</v>
      </c>
      <c r="AC179">
        <v>2978717.38</v>
      </c>
      <c r="AD179">
        <v>16343815.970000001</v>
      </c>
      <c r="AE179">
        <v>15819069.739999998</v>
      </c>
      <c r="AF179">
        <v>583470</v>
      </c>
      <c r="AZ179">
        <v>4068</v>
      </c>
      <c r="BA179" t="s">
        <v>373</v>
      </c>
      <c r="BB179">
        <v>4868776.8899999997</v>
      </c>
      <c r="BC179">
        <v>4700972.37</v>
      </c>
      <c r="BD179">
        <v>177885</v>
      </c>
      <c r="BG179">
        <v>4068</v>
      </c>
      <c r="BH179" t="s">
        <v>373</v>
      </c>
      <c r="BI179">
        <v>0</v>
      </c>
      <c r="BJ179">
        <v>670654.22</v>
      </c>
    </row>
    <row r="180" spans="1:62" x14ac:dyDescent="0.25">
      <c r="A180">
        <v>4043</v>
      </c>
      <c r="B180" t="s">
        <v>372</v>
      </c>
      <c r="C180">
        <v>0</v>
      </c>
      <c r="D180">
        <v>1231295.95</v>
      </c>
      <c r="E180">
        <v>7678316.6399999997</v>
      </c>
      <c r="F180">
        <v>7688882.96</v>
      </c>
      <c r="G180">
        <v>298068</v>
      </c>
      <c r="H180">
        <v>0</v>
      </c>
      <c r="I180">
        <v>1011976.76</v>
      </c>
      <c r="J180">
        <v>7337369.3600000003</v>
      </c>
      <c r="K180">
        <v>7329064.4900000002</v>
      </c>
      <c r="L180">
        <v>321665</v>
      </c>
      <c r="M180">
        <v>0</v>
      </c>
      <c r="N180">
        <v>1283315.73</v>
      </c>
      <c r="O180">
        <v>7766334.7199999997</v>
      </c>
      <c r="P180">
        <v>7509051.7800000003</v>
      </c>
      <c r="Q180">
        <v>320862</v>
      </c>
      <c r="R180">
        <v>0</v>
      </c>
      <c r="S180">
        <v>1405009.15</v>
      </c>
      <c r="T180">
        <v>7635088.3300000001</v>
      </c>
      <c r="U180">
        <v>7458162.3099999996</v>
      </c>
      <c r="V180">
        <v>283325</v>
      </c>
      <c r="W180">
        <v>0</v>
      </c>
      <c r="X180">
        <v>931327.49</v>
      </c>
      <c r="Y180">
        <v>6971088.8300000001</v>
      </c>
      <c r="Z180">
        <v>7618043.6500000013</v>
      </c>
      <c r="AA180">
        <v>283059</v>
      </c>
      <c r="AB180">
        <v>0</v>
      </c>
      <c r="AC180">
        <v>803471.93</v>
      </c>
      <c r="AD180">
        <v>7208314.2699999996</v>
      </c>
      <c r="AE180">
        <v>7376892.4500000002</v>
      </c>
      <c r="AF180">
        <v>293997</v>
      </c>
      <c r="AZ180">
        <v>4086</v>
      </c>
      <c r="BA180" t="s">
        <v>374</v>
      </c>
      <c r="BB180">
        <v>23080971.780000001</v>
      </c>
      <c r="BC180">
        <v>23446726.109999999</v>
      </c>
      <c r="BD180">
        <v>715709</v>
      </c>
      <c r="BG180">
        <v>4086</v>
      </c>
      <c r="BH180" t="s">
        <v>374</v>
      </c>
      <c r="BI180">
        <v>0</v>
      </c>
      <c r="BJ180">
        <v>137823.78</v>
      </c>
    </row>
    <row r="181" spans="1:62" x14ac:dyDescent="0.25">
      <c r="A181">
        <v>4068</v>
      </c>
      <c r="B181" t="s">
        <v>373</v>
      </c>
      <c r="C181">
        <v>14873.37</v>
      </c>
      <c r="D181">
        <v>152834.45000000001</v>
      </c>
      <c r="E181">
        <v>4434956.41</v>
      </c>
      <c r="F181">
        <v>4435872.7300000004</v>
      </c>
      <c r="G181">
        <v>184244</v>
      </c>
      <c r="H181">
        <v>0</v>
      </c>
      <c r="I181">
        <v>-121587.4</v>
      </c>
      <c r="J181">
        <v>4010404.29</v>
      </c>
      <c r="K181">
        <v>4219668.68</v>
      </c>
      <c r="L181">
        <v>196288</v>
      </c>
      <c r="M181">
        <v>0</v>
      </c>
      <c r="N181">
        <v>166367.1</v>
      </c>
      <c r="O181">
        <v>4765877.7</v>
      </c>
      <c r="P181">
        <v>4533402.62</v>
      </c>
      <c r="Q181">
        <v>201353</v>
      </c>
      <c r="R181">
        <v>0</v>
      </c>
      <c r="S181">
        <v>491741.63</v>
      </c>
      <c r="T181">
        <v>4807806.01</v>
      </c>
      <c r="U181">
        <v>4459488.3100000005</v>
      </c>
      <c r="V181">
        <v>178437</v>
      </c>
      <c r="W181">
        <v>0</v>
      </c>
      <c r="X181">
        <v>878394.86</v>
      </c>
      <c r="Y181">
        <v>4805520.1399999997</v>
      </c>
      <c r="Z181">
        <v>4498509.7200000007</v>
      </c>
      <c r="AA181">
        <v>177885</v>
      </c>
      <c r="AB181">
        <v>0</v>
      </c>
      <c r="AC181">
        <v>986170.25</v>
      </c>
      <c r="AD181">
        <v>4868776.8899999997</v>
      </c>
      <c r="AE181">
        <v>4700972.37</v>
      </c>
      <c r="AF181">
        <v>184457</v>
      </c>
      <c r="AZ181">
        <v>4104</v>
      </c>
      <c r="BA181" t="s">
        <v>375</v>
      </c>
      <c r="BB181">
        <v>57819268.969999999</v>
      </c>
      <c r="BC181">
        <v>57178329.029999994</v>
      </c>
      <c r="BD181">
        <v>2152426</v>
      </c>
      <c r="BG181">
        <v>4104</v>
      </c>
      <c r="BH181" t="s">
        <v>375</v>
      </c>
      <c r="BI181">
        <v>0</v>
      </c>
      <c r="BJ181">
        <v>3486011</v>
      </c>
    </row>
    <row r="182" spans="1:62" x14ac:dyDescent="0.25">
      <c r="A182">
        <v>4086</v>
      </c>
      <c r="B182" t="s">
        <v>374</v>
      </c>
      <c r="C182">
        <v>0</v>
      </c>
      <c r="D182">
        <v>1176968.8500000001</v>
      </c>
      <c r="E182">
        <v>19675878.629999999</v>
      </c>
      <c r="F182">
        <v>20234052.57</v>
      </c>
      <c r="G182">
        <v>667084</v>
      </c>
      <c r="H182">
        <v>0</v>
      </c>
      <c r="I182">
        <v>216665.89</v>
      </c>
      <c r="J182">
        <v>20196452.620000001</v>
      </c>
      <c r="K182">
        <v>20778008.110000003</v>
      </c>
      <c r="L182">
        <v>744881</v>
      </c>
      <c r="M182">
        <v>0</v>
      </c>
      <c r="N182">
        <v>837969.84</v>
      </c>
      <c r="O182">
        <v>21358900.969999999</v>
      </c>
      <c r="P182">
        <v>20798274.399999999</v>
      </c>
      <c r="Q182">
        <v>750677</v>
      </c>
      <c r="R182">
        <v>0</v>
      </c>
      <c r="S182">
        <v>354738.19</v>
      </c>
      <c r="T182">
        <v>21745286.010000002</v>
      </c>
      <c r="U182">
        <v>21082678.089999996</v>
      </c>
      <c r="V182">
        <v>700723</v>
      </c>
      <c r="W182">
        <v>0</v>
      </c>
      <c r="X182">
        <v>-474367.84</v>
      </c>
      <c r="Y182">
        <v>21604417.940000001</v>
      </c>
      <c r="Z182">
        <v>22354711.709999997</v>
      </c>
      <c r="AA182">
        <v>715709</v>
      </c>
      <c r="AB182">
        <v>0</v>
      </c>
      <c r="AC182">
        <v>-666315.91</v>
      </c>
      <c r="AD182">
        <v>23080971.780000001</v>
      </c>
      <c r="AE182">
        <v>23446726.109999999</v>
      </c>
      <c r="AF182">
        <v>745248</v>
      </c>
      <c r="AZ182">
        <v>4122</v>
      </c>
      <c r="BA182" t="s">
        <v>376</v>
      </c>
      <c r="BB182">
        <v>5691882.8799999999</v>
      </c>
      <c r="BC182">
        <v>5551030.1400000006</v>
      </c>
      <c r="BD182">
        <v>193522</v>
      </c>
      <c r="BG182">
        <v>4122</v>
      </c>
      <c r="BH182" t="s">
        <v>376</v>
      </c>
      <c r="BI182">
        <v>0</v>
      </c>
      <c r="BJ182">
        <v>2079077.4</v>
      </c>
    </row>
    <row r="183" spans="1:62" x14ac:dyDescent="0.25">
      <c r="A183">
        <v>4104</v>
      </c>
      <c r="B183" t="s">
        <v>375</v>
      </c>
      <c r="C183">
        <v>582.77</v>
      </c>
      <c r="D183">
        <v>5117164.1399999997</v>
      </c>
      <c r="E183">
        <v>48939020.369999997</v>
      </c>
      <c r="F183">
        <v>47121963.170000002</v>
      </c>
      <c r="G183">
        <v>1921715</v>
      </c>
      <c r="H183">
        <v>1157.72</v>
      </c>
      <c r="I183">
        <v>3252273.51</v>
      </c>
      <c r="J183">
        <v>47227478.140000001</v>
      </c>
      <c r="K183">
        <v>48956796.75</v>
      </c>
      <c r="L183">
        <v>2192875</v>
      </c>
      <c r="M183">
        <v>0</v>
      </c>
      <c r="N183">
        <v>3534773.73</v>
      </c>
      <c r="O183">
        <v>51578296.060000002</v>
      </c>
      <c r="P183">
        <v>50930003.800000004</v>
      </c>
      <c r="Q183">
        <v>2296118</v>
      </c>
      <c r="R183">
        <v>0</v>
      </c>
      <c r="S183">
        <v>3685951.26</v>
      </c>
      <c r="T183">
        <v>54687540.039999999</v>
      </c>
      <c r="U183">
        <v>54444192.530000009</v>
      </c>
      <c r="V183">
        <v>2124025</v>
      </c>
      <c r="W183">
        <v>0</v>
      </c>
      <c r="X183">
        <v>2981865.27</v>
      </c>
      <c r="Y183">
        <v>55219115.229999997</v>
      </c>
      <c r="Z183">
        <v>55894500.859999999</v>
      </c>
      <c r="AA183">
        <v>2152426</v>
      </c>
      <c r="AB183">
        <v>0</v>
      </c>
      <c r="AC183">
        <v>3206969.45</v>
      </c>
      <c r="AD183">
        <v>57819268.969999999</v>
      </c>
      <c r="AE183">
        <v>57178329.029999994</v>
      </c>
      <c r="AF183">
        <v>2238380</v>
      </c>
      <c r="AZ183">
        <v>4131</v>
      </c>
      <c r="BA183" t="s">
        <v>377</v>
      </c>
      <c r="BB183">
        <v>38414197.899999999</v>
      </c>
      <c r="BC183">
        <v>41177021.760000005</v>
      </c>
      <c r="BD183">
        <v>1612731</v>
      </c>
      <c r="BG183">
        <v>4131</v>
      </c>
      <c r="BH183" t="s">
        <v>377</v>
      </c>
      <c r="BI183">
        <v>278.49</v>
      </c>
      <c r="BJ183">
        <v>4005682.76</v>
      </c>
    </row>
    <row r="184" spans="1:62" x14ac:dyDescent="0.25">
      <c r="A184">
        <v>4122</v>
      </c>
      <c r="B184" t="s">
        <v>376</v>
      </c>
      <c r="C184">
        <v>0</v>
      </c>
      <c r="D184">
        <v>268982.75</v>
      </c>
      <c r="E184">
        <v>5052764.0199999996</v>
      </c>
      <c r="F184">
        <v>5222625.3899999997</v>
      </c>
      <c r="G184">
        <v>178130</v>
      </c>
      <c r="H184">
        <v>0</v>
      </c>
      <c r="I184">
        <v>477864.68</v>
      </c>
      <c r="J184">
        <v>5466367.9500000002</v>
      </c>
      <c r="K184">
        <v>5154283.97</v>
      </c>
      <c r="L184">
        <v>203315</v>
      </c>
      <c r="M184">
        <v>0</v>
      </c>
      <c r="N184">
        <v>1184282.71</v>
      </c>
      <c r="O184">
        <v>5744366.4299999997</v>
      </c>
      <c r="P184">
        <v>5001755.17</v>
      </c>
      <c r="Q184">
        <v>204930</v>
      </c>
      <c r="R184">
        <v>0</v>
      </c>
      <c r="S184">
        <v>1786583.77</v>
      </c>
      <c r="T184">
        <v>5826774.9100000001</v>
      </c>
      <c r="U184">
        <v>5212044.5100000007</v>
      </c>
      <c r="V184">
        <v>186330</v>
      </c>
      <c r="W184">
        <v>0</v>
      </c>
      <c r="X184">
        <v>2034955.33</v>
      </c>
      <c r="Y184">
        <v>5606186.1200000001</v>
      </c>
      <c r="Z184">
        <v>5419337.4099999992</v>
      </c>
      <c r="AA184">
        <v>193522</v>
      </c>
      <c r="AB184">
        <v>0</v>
      </c>
      <c r="AC184">
        <v>2127513.56</v>
      </c>
      <c r="AD184">
        <v>5691882.8799999999</v>
      </c>
      <c r="AE184">
        <v>5551030.1400000006</v>
      </c>
      <c r="AF184">
        <v>204265</v>
      </c>
      <c r="AZ184">
        <v>4203</v>
      </c>
      <c r="BA184" t="s">
        <v>378</v>
      </c>
      <c r="BB184">
        <v>8489714.7100000009</v>
      </c>
      <c r="BC184">
        <v>8191798.4699999997</v>
      </c>
      <c r="BD184">
        <v>316110</v>
      </c>
      <c r="BG184">
        <v>4203</v>
      </c>
      <c r="BH184" t="s">
        <v>378</v>
      </c>
      <c r="BI184">
        <v>0</v>
      </c>
      <c r="BJ184">
        <v>1285849.71</v>
      </c>
    </row>
    <row r="185" spans="1:62" x14ac:dyDescent="0.25">
      <c r="A185">
        <v>4131</v>
      </c>
      <c r="B185" t="s">
        <v>377</v>
      </c>
      <c r="C185">
        <v>2021338</v>
      </c>
      <c r="D185">
        <v>601172.96</v>
      </c>
      <c r="E185">
        <v>36223614.240000002</v>
      </c>
      <c r="F185">
        <v>37422335.710000008</v>
      </c>
      <c r="G185">
        <v>1556509</v>
      </c>
      <c r="H185">
        <v>2000000</v>
      </c>
      <c r="I185">
        <v>674261.67</v>
      </c>
      <c r="J185">
        <v>37066739.030000001</v>
      </c>
      <c r="K185">
        <v>36788405.980000004</v>
      </c>
      <c r="L185">
        <v>1827794</v>
      </c>
      <c r="M185">
        <v>0</v>
      </c>
      <c r="N185">
        <v>6115527.79</v>
      </c>
      <c r="O185">
        <v>40169855.039999999</v>
      </c>
      <c r="P185">
        <v>36863446.080000006</v>
      </c>
      <c r="Q185">
        <v>1841165</v>
      </c>
      <c r="R185">
        <v>2750000</v>
      </c>
      <c r="S185">
        <v>5569923.3399999999</v>
      </c>
      <c r="T185">
        <v>40520865.009999998</v>
      </c>
      <c r="U185">
        <v>38305647</v>
      </c>
      <c r="V185">
        <v>1665747</v>
      </c>
      <c r="W185">
        <v>10419.93</v>
      </c>
      <c r="X185">
        <v>6816089.1600000001</v>
      </c>
      <c r="Y185">
        <v>39199010.710000001</v>
      </c>
      <c r="Z185">
        <v>40906111.390000001</v>
      </c>
      <c r="AA185">
        <v>1612731</v>
      </c>
      <c r="AB185">
        <v>7427.74</v>
      </c>
      <c r="AC185">
        <v>4086073.45</v>
      </c>
      <c r="AD185">
        <v>38414197.899999999</v>
      </c>
      <c r="AE185">
        <v>41177021.760000005</v>
      </c>
      <c r="AF185">
        <v>1657408</v>
      </c>
      <c r="AZ185">
        <v>4212</v>
      </c>
      <c r="BA185" t="s">
        <v>379</v>
      </c>
      <c r="BB185">
        <v>3440720.16</v>
      </c>
      <c r="BC185">
        <v>3446903.03</v>
      </c>
      <c r="BD185">
        <v>122660</v>
      </c>
      <c r="BG185">
        <v>4212</v>
      </c>
      <c r="BH185" t="s">
        <v>379</v>
      </c>
      <c r="BI185">
        <v>0</v>
      </c>
      <c r="BJ185">
        <v>48970.9</v>
      </c>
    </row>
    <row r="186" spans="1:62" x14ac:dyDescent="0.25">
      <c r="A186">
        <v>4203</v>
      </c>
      <c r="B186" t="s">
        <v>378</v>
      </c>
      <c r="C186">
        <v>0</v>
      </c>
      <c r="D186">
        <v>1796580.23</v>
      </c>
      <c r="E186">
        <v>8017236.8700000001</v>
      </c>
      <c r="F186">
        <v>7759350.8399999999</v>
      </c>
      <c r="G186">
        <v>314410</v>
      </c>
      <c r="H186">
        <v>0</v>
      </c>
      <c r="I186">
        <v>1432173</v>
      </c>
      <c r="J186">
        <v>7591795.1600000001</v>
      </c>
      <c r="K186">
        <v>7889710.2999999998</v>
      </c>
      <c r="L186">
        <v>350016</v>
      </c>
      <c r="M186">
        <v>0</v>
      </c>
      <c r="N186">
        <v>1353960.49</v>
      </c>
      <c r="O186">
        <v>8072682.1799999997</v>
      </c>
      <c r="P186">
        <v>8166376.709999999</v>
      </c>
      <c r="Q186">
        <v>349255</v>
      </c>
      <c r="R186">
        <v>0</v>
      </c>
      <c r="S186">
        <v>1283472.97</v>
      </c>
      <c r="T186">
        <v>7986264.7400000002</v>
      </c>
      <c r="U186">
        <v>8013612.5399999991</v>
      </c>
      <c r="V186">
        <v>314925</v>
      </c>
      <c r="W186">
        <v>0</v>
      </c>
      <c r="X186">
        <v>1723006.86</v>
      </c>
      <c r="Y186">
        <v>8344581.1100000003</v>
      </c>
      <c r="Z186">
        <v>7853177.1699999999</v>
      </c>
      <c r="AA186">
        <v>316110</v>
      </c>
      <c r="AB186">
        <v>0</v>
      </c>
      <c r="AC186">
        <v>1973872.99</v>
      </c>
      <c r="AD186">
        <v>8489714.7100000009</v>
      </c>
      <c r="AE186">
        <v>8191798.4699999997</v>
      </c>
      <c r="AF186">
        <v>320024</v>
      </c>
      <c r="AZ186">
        <v>4419</v>
      </c>
      <c r="BA186" t="s">
        <v>611</v>
      </c>
      <c r="BB186">
        <v>8462631.7200000007</v>
      </c>
      <c r="BC186">
        <v>8699124.0599999987</v>
      </c>
      <c r="BD186">
        <v>318441</v>
      </c>
      <c r="BG186">
        <v>4419</v>
      </c>
      <c r="BH186" t="s">
        <v>611</v>
      </c>
      <c r="BI186">
        <v>0</v>
      </c>
      <c r="BJ186">
        <v>186282.56</v>
      </c>
    </row>
    <row r="187" spans="1:62" x14ac:dyDescent="0.25">
      <c r="A187">
        <v>4212</v>
      </c>
      <c r="B187" t="s">
        <v>379</v>
      </c>
      <c r="C187">
        <v>0</v>
      </c>
      <c r="D187">
        <v>463470.98</v>
      </c>
      <c r="E187">
        <v>3610579.84</v>
      </c>
      <c r="F187">
        <v>3476816.26</v>
      </c>
      <c r="G187">
        <v>137704</v>
      </c>
      <c r="H187">
        <v>0</v>
      </c>
      <c r="I187">
        <v>606867.74</v>
      </c>
      <c r="J187">
        <v>3476359.09</v>
      </c>
      <c r="K187">
        <v>3299464.15</v>
      </c>
      <c r="L187">
        <v>142824</v>
      </c>
      <c r="M187">
        <v>0</v>
      </c>
      <c r="N187">
        <v>754714.98</v>
      </c>
      <c r="O187">
        <v>3566632.2</v>
      </c>
      <c r="P187">
        <v>3328842.07</v>
      </c>
      <c r="Q187">
        <v>141596</v>
      </c>
      <c r="R187">
        <v>0</v>
      </c>
      <c r="S187">
        <v>521651.6</v>
      </c>
      <c r="T187">
        <v>3262957.7</v>
      </c>
      <c r="U187">
        <v>3460616.1599999997</v>
      </c>
      <c r="V187">
        <v>123248</v>
      </c>
      <c r="W187">
        <v>0</v>
      </c>
      <c r="X187">
        <v>33343.53</v>
      </c>
      <c r="Y187">
        <v>2998397.28</v>
      </c>
      <c r="Z187">
        <v>3502195.23</v>
      </c>
      <c r="AA187">
        <v>122660</v>
      </c>
      <c r="AB187">
        <v>0</v>
      </c>
      <c r="AC187">
        <v>-43744.71</v>
      </c>
      <c r="AD187">
        <v>3440720.16</v>
      </c>
      <c r="AE187">
        <v>3446903.03</v>
      </c>
      <c r="AF187">
        <v>130602</v>
      </c>
      <c r="AZ187">
        <v>4269</v>
      </c>
      <c r="BA187" t="s">
        <v>381</v>
      </c>
      <c r="BB187">
        <v>5883744.9400000004</v>
      </c>
      <c r="BC187">
        <v>5953576.1900000004</v>
      </c>
      <c r="BD187">
        <v>211011</v>
      </c>
      <c r="BG187">
        <v>4269</v>
      </c>
      <c r="BH187" t="s">
        <v>381</v>
      </c>
      <c r="BI187">
        <v>0</v>
      </c>
      <c r="BJ187">
        <v>1580886.16</v>
      </c>
    </row>
    <row r="188" spans="1:62" x14ac:dyDescent="0.25">
      <c r="A188">
        <v>4419</v>
      </c>
      <c r="B188" t="s">
        <v>380</v>
      </c>
      <c r="C188">
        <v>0</v>
      </c>
      <c r="D188">
        <v>1384655.8</v>
      </c>
      <c r="E188">
        <v>7678136.2599999998</v>
      </c>
      <c r="F188">
        <v>7994450.3200000012</v>
      </c>
      <c r="G188">
        <v>318417</v>
      </c>
      <c r="H188">
        <v>0</v>
      </c>
      <c r="I188">
        <v>761676.68</v>
      </c>
      <c r="J188">
        <v>7614089.9699999997</v>
      </c>
      <c r="K188">
        <v>8223162.46</v>
      </c>
      <c r="L188">
        <v>357089</v>
      </c>
      <c r="M188">
        <v>0</v>
      </c>
      <c r="N188">
        <v>-63614.5</v>
      </c>
      <c r="O188">
        <v>8023090.5300000003</v>
      </c>
      <c r="P188">
        <v>8111734.7199999997</v>
      </c>
      <c r="Q188">
        <v>356773</v>
      </c>
      <c r="R188">
        <v>0</v>
      </c>
      <c r="S188">
        <v>516640.29</v>
      </c>
      <c r="T188">
        <v>7930771.5300000003</v>
      </c>
      <c r="U188">
        <v>7963609.8899999997</v>
      </c>
      <c r="V188">
        <v>315818</v>
      </c>
      <c r="W188">
        <v>0</v>
      </c>
      <c r="X188">
        <v>312025.40000000002</v>
      </c>
      <c r="Y188">
        <v>7973147.0999999996</v>
      </c>
      <c r="Z188">
        <v>8173236.5</v>
      </c>
      <c r="AA188">
        <v>318441</v>
      </c>
      <c r="AB188">
        <v>0</v>
      </c>
      <c r="AC188">
        <v>9192.48</v>
      </c>
      <c r="AD188">
        <v>8462631.7200000007</v>
      </c>
      <c r="AE188">
        <v>8699124.0599999987</v>
      </c>
      <c r="AF188">
        <v>328996</v>
      </c>
      <c r="AZ188">
        <v>4271</v>
      </c>
      <c r="BA188" t="s">
        <v>382</v>
      </c>
      <c r="BB188">
        <v>13657057.800000001</v>
      </c>
      <c r="BC188">
        <v>13861072.93</v>
      </c>
      <c r="BD188">
        <v>457796</v>
      </c>
      <c r="BG188">
        <v>4271</v>
      </c>
      <c r="BH188" t="s">
        <v>382</v>
      </c>
      <c r="BI188">
        <v>0</v>
      </c>
      <c r="BJ188">
        <v>2328856.2200000002</v>
      </c>
    </row>
    <row r="189" spans="1:62" x14ac:dyDescent="0.25">
      <c r="A189">
        <v>4269</v>
      </c>
      <c r="B189" t="s">
        <v>381</v>
      </c>
      <c r="C189">
        <v>0</v>
      </c>
      <c r="D189">
        <v>369321.74</v>
      </c>
      <c r="E189">
        <v>6342002.6799999997</v>
      </c>
      <c r="F189">
        <v>5469647.4500000002</v>
      </c>
      <c r="G189">
        <v>223009</v>
      </c>
      <c r="H189">
        <v>0</v>
      </c>
      <c r="I189">
        <v>519758.92</v>
      </c>
      <c r="J189">
        <v>5765126.5800000001</v>
      </c>
      <c r="K189">
        <v>5594009.4300000006</v>
      </c>
      <c r="L189">
        <v>240008</v>
      </c>
      <c r="M189">
        <v>0</v>
      </c>
      <c r="N189">
        <v>1467432.29</v>
      </c>
      <c r="O189">
        <v>6741505.4100000001</v>
      </c>
      <c r="P189">
        <v>5734198.4100000011</v>
      </c>
      <c r="Q189">
        <v>241379</v>
      </c>
      <c r="R189">
        <v>0</v>
      </c>
      <c r="S189">
        <v>2101409.4300000002</v>
      </c>
      <c r="T189">
        <v>6268842.3099999996</v>
      </c>
      <c r="U189">
        <v>5628207.8899999997</v>
      </c>
      <c r="V189">
        <v>212382</v>
      </c>
      <c r="W189">
        <v>0</v>
      </c>
      <c r="X189">
        <v>1557070.83</v>
      </c>
      <c r="Y189">
        <v>5409967.9000000004</v>
      </c>
      <c r="Z189">
        <v>6036070.7399999993</v>
      </c>
      <c r="AA189">
        <v>211011</v>
      </c>
      <c r="AB189">
        <v>0</v>
      </c>
      <c r="AC189">
        <v>1554763.7</v>
      </c>
      <c r="AD189">
        <v>5883744.9400000004</v>
      </c>
      <c r="AE189">
        <v>5953576.1900000004</v>
      </c>
      <c r="AF189">
        <v>223492</v>
      </c>
      <c r="AZ189">
        <v>4356</v>
      </c>
      <c r="BA189" t="s">
        <v>383</v>
      </c>
      <c r="BB189">
        <v>9180279.6099999994</v>
      </c>
      <c r="BC189">
        <v>8209978.3000000007</v>
      </c>
      <c r="BD189">
        <v>329939</v>
      </c>
      <c r="BG189">
        <v>4356</v>
      </c>
      <c r="BH189" t="s">
        <v>383</v>
      </c>
      <c r="BI189">
        <v>0</v>
      </c>
      <c r="BJ189">
        <v>2491633.13</v>
      </c>
    </row>
    <row r="190" spans="1:62" x14ac:dyDescent="0.25">
      <c r="A190">
        <v>4271</v>
      </c>
      <c r="B190" t="s">
        <v>382</v>
      </c>
      <c r="C190">
        <v>0</v>
      </c>
      <c r="D190">
        <v>772174.19</v>
      </c>
      <c r="E190">
        <v>11941484.189999999</v>
      </c>
      <c r="F190">
        <v>11708473.360000001</v>
      </c>
      <c r="G190">
        <v>445538</v>
      </c>
      <c r="H190">
        <v>0</v>
      </c>
      <c r="I190">
        <v>525126.93000000005</v>
      </c>
      <c r="J190">
        <v>11928279.470000001</v>
      </c>
      <c r="K190">
        <v>11861659.16</v>
      </c>
      <c r="L190">
        <v>488089</v>
      </c>
      <c r="M190">
        <v>0</v>
      </c>
      <c r="N190">
        <v>2310394.2799999998</v>
      </c>
      <c r="O190">
        <v>14057883.800000001</v>
      </c>
      <c r="P190">
        <v>12284420.140000001</v>
      </c>
      <c r="Q190">
        <v>504572</v>
      </c>
      <c r="R190">
        <v>0</v>
      </c>
      <c r="S190">
        <v>3742647.97</v>
      </c>
      <c r="T190">
        <v>13613589.439999999</v>
      </c>
      <c r="U190">
        <v>12308720.83</v>
      </c>
      <c r="V190">
        <v>457982</v>
      </c>
      <c r="W190">
        <v>0</v>
      </c>
      <c r="X190">
        <v>3294579.01</v>
      </c>
      <c r="Y190">
        <v>12747658</v>
      </c>
      <c r="Z190">
        <v>13344039.74</v>
      </c>
      <c r="AA190">
        <v>457796</v>
      </c>
      <c r="AB190">
        <v>0</v>
      </c>
      <c r="AC190">
        <v>3034253.34</v>
      </c>
      <c r="AD190">
        <v>13657057.800000001</v>
      </c>
      <c r="AE190">
        <v>13861072.93</v>
      </c>
      <c r="AF190">
        <v>488825</v>
      </c>
      <c r="AZ190">
        <v>4149</v>
      </c>
      <c r="BA190" t="s">
        <v>384</v>
      </c>
      <c r="BB190">
        <v>14072829.15</v>
      </c>
      <c r="BC190">
        <v>13429696.470000001</v>
      </c>
      <c r="BD190">
        <v>554844</v>
      </c>
      <c r="BG190">
        <v>4149</v>
      </c>
      <c r="BH190" t="s">
        <v>384</v>
      </c>
      <c r="BI190">
        <v>0</v>
      </c>
      <c r="BJ190">
        <v>2971160.48</v>
      </c>
    </row>
    <row r="191" spans="1:62" x14ac:dyDescent="0.25">
      <c r="A191">
        <v>4356</v>
      </c>
      <c r="B191" t="s">
        <v>383</v>
      </c>
      <c r="C191">
        <v>0</v>
      </c>
      <c r="D191">
        <v>-543460.04</v>
      </c>
      <c r="E191">
        <v>7918704.6100000003</v>
      </c>
      <c r="F191">
        <v>8312804.7899999991</v>
      </c>
      <c r="G191">
        <v>333778</v>
      </c>
      <c r="H191">
        <v>0</v>
      </c>
      <c r="I191">
        <v>-655819.81999999995</v>
      </c>
      <c r="J191">
        <v>8168529.1399999997</v>
      </c>
      <c r="K191">
        <v>8272419.8099999996</v>
      </c>
      <c r="L191">
        <v>373644</v>
      </c>
      <c r="M191">
        <v>0</v>
      </c>
      <c r="N191">
        <v>-232778.29</v>
      </c>
      <c r="O191">
        <v>9168734.5500000007</v>
      </c>
      <c r="P191">
        <v>8666458.3100000005</v>
      </c>
      <c r="Q191">
        <v>373579</v>
      </c>
      <c r="R191">
        <v>0</v>
      </c>
      <c r="S191">
        <v>342096.96</v>
      </c>
      <c r="T191">
        <v>8698341.7100000009</v>
      </c>
      <c r="U191">
        <v>8145212.1299999999</v>
      </c>
      <c r="V191">
        <v>332204</v>
      </c>
      <c r="W191">
        <v>0</v>
      </c>
      <c r="X191">
        <v>909606.07</v>
      </c>
      <c r="Y191">
        <v>8780675.3200000003</v>
      </c>
      <c r="Z191">
        <v>8199152.8099999996</v>
      </c>
      <c r="AA191">
        <v>329939</v>
      </c>
      <c r="AB191">
        <v>0</v>
      </c>
      <c r="AC191">
        <v>1804916.91</v>
      </c>
      <c r="AD191">
        <v>9180279.6099999994</v>
      </c>
      <c r="AE191">
        <v>8209978.3000000007</v>
      </c>
      <c r="AF191">
        <v>349941</v>
      </c>
      <c r="AZ191">
        <v>4437</v>
      </c>
      <c r="BA191" t="s">
        <v>385</v>
      </c>
      <c r="BB191">
        <v>5161645.42</v>
      </c>
      <c r="BC191">
        <v>5611091.2299999986</v>
      </c>
      <c r="BD191">
        <v>206971</v>
      </c>
      <c r="BG191">
        <v>4437</v>
      </c>
      <c r="BH191" t="s">
        <v>385</v>
      </c>
      <c r="BI191">
        <v>0</v>
      </c>
      <c r="BJ191">
        <v>614377.98</v>
      </c>
    </row>
    <row r="192" spans="1:62" x14ac:dyDescent="0.25">
      <c r="A192">
        <v>4149</v>
      </c>
      <c r="B192" t="s">
        <v>384</v>
      </c>
      <c r="C192">
        <v>0</v>
      </c>
      <c r="D192">
        <v>889364.28</v>
      </c>
      <c r="E192">
        <v>12066887.119999999</v>
      </c>
      <c r="F192">
        <v>12182244.959999999</v>
      </c>
      <c r="G192">
        <v>522985</v>
      </c>
      <c r="H192">
        <v>0</v>
      </c>
      <c r="I192">
        <v>605726.73</v>
      </c>
      <c r="J192">
        <v>12081055.76</v>
      </c>
      <c r="K192">
        <v>12310506.220000001</v>
      </c>
      <c r="L192">
        <v>588853</v>
      </c>
      <c r="M192">
        <v>0</v>
      </c>
      <c r="N192">
        <v>1251339.67</v>
      </c>
      <c r="O192">
        <v>13033475.35</v>
      </c>
      <c r="P192">
        <v>12412363.799999999</v>
      </c>
      <c r="Q192">
        <v>603338</v>
      </c>
      <c r="R192">
        <v>0</v>
      </c>
      <c r="S192">
        <v>2288580.6800000002</v>
      </c>
      <c r="T192">
        <v>13886345.01</v>
      </c>
      <c r="U192">
        <v>12816024.429999998</v>
      </c>
      <c r="V192">
        <v>557266</v>
      </c>
      <c r="W192">
        <v>0</v>
      </c>
      <c r="X192">
        <v>2513356.17</v>
      </c>
      <c r="Y192">
        <v>13474400.73</v>
      </c>
      <c r="Z192">
        <v>13236693.789999999</v>
      </c>
      <c r="AA192">
        <v>554844</v>
      </c>
      <c r="AB192">
        <v>0</v>
      </c>
      <c r="AC192">
        <v>3055785.36</v>
      </c>
      <c r="AD192">
        <v>14072829.15</v>
      </c>
      <c r="AE192">
        <v>13429696.470000001</v>
      </c>
      <c r="AF192">
        <v>578836</v>
      </c>
      <c r="AZ192">
        <v>4446</v>
      </c>
      <c r="BA192" t="s">
        <v>386</v>
      </c>
      <c r="BB192">
        <v>11705971.75</v>
      </c>
      <c r="BC192">
        <v>11489422.859999999</v>
      </c>
      <c r="BD192">
        <v>388386</v>
      </c>
      <c r="BG192">
        <v>4446</v>
      </c>
      <c r="BH192" t="s">
        <v>386</v>
      </c>
      <c r="BI192">
        <v>0</v>
      </c>
      <c r="BJ192">
        <v>1095321.47</v>
      </c>
    </row>
    <row r="193" spans="1:62" x14ac:dyDescent="0.25">
      <c r="A193">
        <v>4437</v>
      </c>
      <c r="B193" t="s">
        <v>385</v>
      </c>
      <c r="C193">
        <v>0</v>
      </c>
      <c r="D193">
        <v>636749.27</v>
      </c>
      <c r="E193">
        <v>4681633.6100000003</v>
      </c>
      <c r="F193">
        <v>4773134.0399999991</v>
      </c>
      <c r="G193">
        <v>175942</v>
      </c>
      <c r="H193">
        <v>0</v>
      </c>
      <c r="I193">
        <v>526302.36</v>
      </c>
      <c r="J193">
        <v>4806404.5999999996</v>
      </c>
      <c r="K193">
        <v>4900693.28</v>
      </c>
      <c r="L193">
        <v>223493</v>
      </c>
      <c r="M193">
        <v>0</v>
      </c>
      <c r="N193">
        <v>958299.82</v>
      </c>
      <c r="O193">
        <v>5458152.4699999997</v>
      </c>
      <c r="P193">
        <v>4997755.2799999993</v>
      </c>
      <c r="Q193">
        <v>227938</v>
      </c>
      <c r="R193">
        <v>0</v>
      </c>
      <c r="S193">
        <v>1221070.69</v>
      </c>
      <c r="T193">
        <v>5316725.6900000004</v>
      </c>
      <c r="U193">
        <v>5058696.08</v>
      </c>
      <c r="V193">
        <v>208432</v>
      </c>
      <c r="W193">
        <v>0</v>
      </c>
      <c r="X193">
        <v>1180821.03</v>
      </c>
      <c r="Y193">
        <v>5240450.5</v>
      </c>
      <c r="Z193">
        <v>5273374.38</v>
      </c>
      <c r="AA193">
        <v>206971</v>
      </c>
      <c r="AB193">
        <v>0</v>
      </c>
      <c r="AC193">
        <v>786972.34</v>
      </c>
      <c r="AD193">
        <v>5161645.42</v>
      </c>
      <c r="AE193">
        <v>5611091.2299999986</v>
      </c>
      <c r="AF193">
        <v>213427</v>
      </c>
      <c r="AZ193">
        <v>4491</v>
      </c>
      <c r="BA193" t="s">
        <v>387</v>
      </c>
      <c r="BB193">
        <v>4149396.69</v>
      </c>
      <c r="BC193">
        <v>4207054.45</v>
      </c>
      <c r="BD193">
        <v>131236</v>
      </c>
      <c r="BG193">
        <v>4491</v>
      </c>
      <c r="BH193" t="s">
        <v>387</v>
      </c>
      <c r="BI193">
        <v>0</v>
      </c>
      <c r="BJ193">
        <v>735217.98</v>
      </c>
    </row>
    <row r="194" spans="1:62" x14ac:dyDescent="0.25">
      <c r="A194">
        <v>4446</v>
      </c>
      <c r="B194" t="s">
        <v>386</v>
      </c>
      <c r="C194">
        <v>0</v>
      </c>
      <c r="D194">
        <v>1847503.59</v>
      </c>
      <c r="E194">
        <v>9199950.3300000001</v>
      </c>
      <c r="F194">
        <v>9340765.8899999987</v>
      </c>
      <c r="G194">
        <v>367852</v>
      </c>
      <c r="H194">
        <v>0</v>
      </c>
      <c r="I194">
        <v>1240676.0900000001</v>
      </c>
      <c r="J194">
        <v>9145699.2699999996</v>
      </c>
      <c r="K194">
        <v>9715159.4700000007</v>
      </c>
      <c r="L194">
        <v>402724</v>
      </c>
      <c r="M194">
        <v>0</v>
      </c>
      <c r="N194">
        <v>299983.59000000003</v>
      </c>
      <c r="O194">
        <v>9812532.7100000009</v>
      </c>
      <c r="P194">
        <v>10598579.23</v>
      </c>
      <c r="Q194">
        <v>405016</v>
      </c>
      <c r="R194">
        <v>0</v>
      </c>
      <c r="S194">
        <v>70070.87</v>
      </c>
      <c r="T194">
        <v>10538383.41</v>
      </c>
      <c r="U194">
        <v>10758158.739999998</v>
      </c>
      <c r="V194">
        <v>381001</v>
      </c>
      <c r="W194">
        <v>0</v>
      </c>
      <c r="X194">
        <v>222352.02</v>
      </c>
      <c r="Y194">
        <v>10805429.23</v>
      </c>
      <c r="Z194">
        <v>10749277.969999999</v>
      </c>
      <c r="AA194">
        <v>388386</v>
      </c>
      <c r="AB194">
        <v>0</v>
      </c>
      <c r="AC194">
        <v>482788.43</v>
      </c>
      <c r="AD194">
        <v>11705971.75</v>
      </c>
      <c r="AE194">
        <v>11489422.859999999</v>
      </c>
      <c r="AF194">
        <v>415155</v>
      </c>
      <c r="AZ194">
        <v>4505</v>
      </c>
      <c r="BA194" t="s">
        <v>388</v>
      </c>
      <c r="BB194">
        <v>2764539.6</v>
      </c>
      <c r="BC194">
        <v>3013000.9599999995</v>
      </c>
      <c r="BD194">
        <v>100864</v>
      </c>
      <c r="BG194">
        <v>4505</v>
      </c>
      <c r="BH194" t="s">
        <v>388</v>
      </c>
      <c r="BI194">
        <v>0</v>
      </c>
      <c r="BJ194">
        <v>110897.15</v>
      </c>
    </row>
    <row r="195" spans="1:62" x14ac:dyDescent="0.25">
      <c r="A195">
        <v>4491</v>
      </c>
      <c r="B195" t="s">
        <v>387</v>
      </c>
      <c r="C195">
        <v>0</v>
      </c>
      <c r="D195">
        <v>281704.26</v>
      </c>
      <c r="E195">
        <v>3447070.81</v>
      </c>
      <c r="F195">
        <v>3475090.9999999995</v>
      </c>
      <c r="G195">
        <v>111392</v>
      </c>
      <c r="H195">
        <v>0</v>
      </c>
      <c r="I195">
        <v>220773.93</v>
      </c>
      <c r="J195">
        <v>3462044.61</v>
      </c>
      <c r="K195">
        <v>3522974.94</v>
      </c>
      <c r="L195">
        <v>122476</v>
      </c>
      <c r="M195">
        <v>0</v>
      </c>
      <c r="N195">
        <v>314232.74</v>
      </c>
      <c r="O195">
        <v>3788286.5</v>
      </c>
      <c r="P195">
        <v>3663245.07</v>
      </c>
      <c r="Q195">
        <v>132313</v>
      </c>
      <c r="R195">
        <v>0</v>
      </c>
      <c r="S195">
        <v>594085.27</v>
      </c>
      <c r="T195">
        <v>4034139.21</v>
      </c>
      <c r="U195">
        <v>3747515.37</v>
      </c>
      <c r="V195">
        <v>126933</v>
      </c>
      <c r="W195">
        <v>0</v>
      </c>
      <c r="X195">
        <v>600298.81000000006</v>
      </c>
      <c r="Y195">
        <v>4107687.33</v>
      </c>
      <c r="Z195">
        <v>4109458.4200000004</v>
      </c>
      <c r="AA195">
        <v>131236</v>
      </c>
      <c r="AB195">
        <v>0</v>
      </c>
      <c r="AC195">
        <v>517781.84</v>
      </c>
      <c r="AD195">
        <v>4149396.69</v>
      </c>
      <c r="AE195">
        <v>4207054.45</v>
      </c>
      <c r="AF195">
        <v>134168</v>
      </c>
      <c r="AZ195">
        <v>4509</v>
      </c>
      <c r="BA195" t="s">
        <v>389</v>
      </c>
      <c r="BB195">
        <v>2672347.69</v>
      </c>
      <c r="BC195">
        <v>2473077.13</v>
      </c>
      <c r="BD195">
        <v>80914</v>
      </c>
      <c r="BG195">
        <v>4509</v>
      </c>
      <c r="BH195" t="s">
        <v>389</v>
      </c>
      <c r="BI195">
        <v>0</v>
      </c>
      <c r="BJ195">
        <v>319076.67</v>
      </c>
    </row>
    <row r="196" spans="1:62" x14ac:dyDescent="0.25">
      <c r="A196">
        <v>4505</v>
      </c>
      <c r="B196" t="s">
        <v>388</v>
      </c>
      <c r="C196">
        <v>0</v>
      </c>
      <c r="D196">
        <v>102318.1</v>
      </c>
      <c r="E196">
        <v>2789218.51</v>
      </c>
      <c r="F196">
        <v>3016541.26</v>
      </c>
      <c r="G196">
        <v>105371</v>
      </c>
      <c r="H196">
        <v>0</v>
      </c>
      <c r="I196">
        <v>106773.49</v>
      </c>
      <c r="J196">
        <v>2881251.22</v>
      </c>
      <c r="K196">
        <v>2853804.74</v>
      </c>
      <c r="L196">
        <v>116706</v>
      </c>
      <c r="M196">
        <v>0</v>
      </c>
      <c r="N196">
        <v>359133.44</v>
      </c>
      <c r="O196">
        <v>3141395.63</v>
      </c>
      <c r="P196">
        <v>2868601.27</v>
      </c>
      <c r="Q196">
        <v>114933</v>
      </c>
      <c r="R196">
        <v>0</v>
      </c>
      <c r="S196">
        <v>569823.5</v>
      </c>
      <c r="T196">
        <v>3085034.49</v>
      </c>
      <c r="U196">
        <v>2876380.9600000004</v>
      </c>
      <c r="V196">
        <v>99873</v>
      </c>
      <c r="W196">
        <v>0</v>
      </c>
      <c r="X196">
        <v>484275.91</v>
      </c>
      <c r="Y196">
        <v>2827990.54</v>
      </c>
      <c r="Z196">
        <v>2889809.06</v>
      </c>
      <c r="AA196">
        <v>100864</v>
      </c>
      <c r="AB196">
        <v>0</v>
      </c>
      <c r="AC196">
        <v>217441.25</v>
      </c>
      <c r="AD196">
        <v>2764539.6</v>
      </c>
      <c r="AE196">
        <v>3013000.9599999995</v>
      </c>
      <c r="AF196">
        <v>103582</v>
      </c>
      <c r="AZ196">
        <v>4518</v>
      </c>
      <c r="BA196" t="s">
        <v>390</v>
      </c>
      <c r="BB196">
        <v>2629770.2599999998</v>
      </c>
      <c r="BC196">
        <v>2546109.1799999997</v>
      </c>
      <c r="BD196">
        <v>77435</v>
      </c>
      <c r="BG196">
        <v>4518</v>
      </c>
      <c r="BH196" t="s">
        <v>390</v>
      </c>
      <c r="BI196">
        <v>0</v>
      </c>
      <c r="BJ196">
        <v>489040.2</v>
      </c>
    </row>
    <row r="197" spans="1:62" x14ac:dyDescent="0.25">
      <c r="A197">
        <v>4509</v>
      </c>
      <c r="B197" t="s">
        <v>389</v>
      </c>
      <c r="C197">
        <v>0</v>
      </c>
      <c r="D197">
        <v>183717.43</v>
      </c>
      <c r="E197">
        <v>2463222.64</v>
      </c>
      <c r="F197">
        <v>2588340.59</v>
      </c>
      <c r="G197">
        <v>82242</v>
      </c>
      <c r="H197">
        <v>0</v>
      </c>
      <c r="I197">
        <v>-51060.5</v>
      </c>
      <c r="J197">
        <v>2211732.4500000002</v>
      </c>
      <c r="K197">
        <v>2446510.3799999994</v>
      </c>
      <c r="L197">
        <v>87559</v>
      </c>
      <c r="M197">
        <v>0</v>
      </c>
      <c r="N197">
        <v>35949.199999999997</v>
      </c>
      <c r="O197">
        <v>2479281.39</v>
      </c>
      <c r="P197">
        <v>2381953.5999999996</v>
      </c>
      <c r="Q197">
        <v>89948</v>
      </c>
      <c r="R197">
        <v>0</v>
      </c>
      <c r="S197">
        <v>114647.58</v>
      </c>
      <c r="T197">
        <v>2641474.7799999998</v>
      </c>
      <c r="U197">
        <v>2562776.3999999994</v>
      </c>
      <c r="V197">
        <v>80894</v>
      </c>
      <c r="W197">
        <v>0</v>
      </c>
      <c r="X197">
        <v>140269.9</v>
      </c>
      <c r="Y197">
        <v>2465100.4300000002</v>
      </c>
      <c r="Z197">
        <v>2449796.2000000002</v>
      </c>
      <c r="AA197">
        <v>80914</v>
      </c>
      <c r="AB197">
        <v>0</v>
      </c>
      <c r="AC197">
        <v>333723.89</v>
      </c>
      <c r="AD197">
        <v>2672347.69</v>
      </c>
      <c r="AE197">
        <v>2473077.13</v>
      </c>
      <c r="AF197">
        <v>88320</v>
      </c>
      <c r="AZ197">
        <v>4527</v>
      </c>
      <c r="BA197" t="s">
        <v>391</v>
      </c>
      <c r="BB197">
        <v>7577173.71</v>
      </c>
      <c r="BC197">
        <v>7107399.71</v>
      </c>
      <c r="BD197">
        <v>235770</v>
      </c>
      <c r="BG197">
        <v>4527</v>
      </c>
      <c r="BH197" t="s">
        <v>391</v>
      </c>
      <c r="BI197">
        <v>0</v>
      </c>
      <c r="BJ197">
        <v>1723270.39</v>
      </c>
    </row>
    <row r="198" spans="1:62" x14ac:dyDescent="0.25">
      <c r="A198">
        <v>4518</v>
      </c>
      <c r="B198" t="s">
        <v>390</v>
      </c>
      <c r="C198">
        <v>0</v>
      </c>
      <c r="D198">
        <v>364642.42</v>
      </c>
      <c r="E198">
        <v>2404978.25</v>
      </c>
      <c r="F198">
        <v>2390396.8200000008</v>
      </c>
      <c r="G198">
        <v>82079</v>
      </c>
      <c r="H198">
        <v>0</v>
      </c>
      <c r="I198">
        <v>143808.85999999999</v>
      </c>
      <c r="J198">
        <v>2339417.9700000002</v>
      </c>
      <c r="K198">
        <v>2490645.6100000003</v>
      </c>
      <c r="L198">
        <v>88522</v>
      </c>
      <c r="M198">
        <v>0</v>
      </c>
      <c r="N198">
        <v>122968.5</v>
      </c>
      <c r="O198">
        <v>2548574.88</v>
      </c>
      <c r="P198">
        <v>2487301.5700000003</v>
      </c>
      <c r="Q198">
        <v>88496</v>
      </c>
      <c r="R198">
        <v>0</v>
      </c>
      <c r="S198">
        <v>160718.21</v>
      </c>
      <c r="T198">
        <v>2440659.71</v>
      </c>
      <c r="U198">
        <v>2398067.61</v>
      </c>
      <c r="V198">
        <v>77265</v>
      </c>
      <c r="W198">
        <v>0</v>
      </c>
      <c r="X198">
        <v>250358.56</v>
      </c>
      <c r="Y198">
        <v>2445203.65</v>
      </c>
      <c r="Z198">
        <v>2355453.41</v>
      </c>
      <c r="AA198">
        <v>77435</v>
      </c>
      <c r="AB198">
        <v>0</v>
      </c>
      <c r="AC198">
        <v>258175.54</v>
      </c>
      <c r="AD198">
        <v>2629770.2599999998</v>
      </c>
      <c r="AE198">
        <v>2546109.1799999997</v>
      </c>
      <c r="AF198">
        <v>83222</v>
      </c>
      <c r="AZ198">
        <v>4536</v>
      </c>
      <c r="BA198" t="s">
        <v>392</v>
      </c>
      <c r="BB198">
        <v>20742670.420000002</v>
      </c>
      <c r="BC198">
        <v>20756757.409999996</v>
      </c>
      <c r="BD198">
        <v>771905</v>
      </c>
      <c r="BG198">
        <v>4536</v>
      </c>
      <c r="BH198" t="s">
        <v>392</v>
      </c>
      <c r="BI198">
        <v>70567.850000000006</v>
      </c>
      <c r="BJ198">
        <v>1834372.11</v>
      </c>
    </row>
    <row r="199" spans="1:62" x14ac:dyDescent="0.25">
      <c r="A199">
        <v>4527</v>
      </c>
      <c r="B199" t="s">
        <v>391</v>
      </c>
      <c r="C199">
        <v>0</v>
      </c>
      <c r="D199">
        <v>-5246.66</v>
      </c>
      <c r="E199">
        <v>7218329.4800000004</v>
      </c>
      <c r="F199">
        <v>7327958.2699999996</v>
      </c>
      <c r="G199">
        <v>248393</v>
      </c>
      <c r="H199">
        <v>0</v>
      </c>
      <c r="I199">
        <v>242393.33</v>
      </c>
      <c r="J199">
        <v>7104076.3200000003</v>
      </c>
      <c r="K199">
        <v>6838407.1099999994</v>
      </c>
      <c r="L199">
        <v>267205</v>
      </c>
      <c r="M199">
        <v>0</v>
      </c>
      <c r="N199">
        <v>565283.25</v>
      </c>
      <c r="O199">
        <v>7334298.25</v>
      </c>
      <c r="P199">
        <v>6945433.6200000001</v>
      </c>
      <c r="Q199">
        <v>268451</v>
      </c>
      <c r="R199">
        <v>0</v>
      </c>
      <c r="S199">
        <v>822681.16</v>
      </c>
      <c r="T199">
        <v>7348693.6399999997</v>
      </c>
      <c r="U199">
        <v>7040798.8700000001</v>
      </c>
      <c r="V199">
        <v>233293</v>
      </c>
      <c r="W199">
        <v>0</v>
      </c>
      <c r="X199">
        <v>1195535.32</v>
      </c>
      <c r="Y199">
        <v>7287409.2999999998</v>
      </c>
      <c r="Z199">
        <v>6887803.9700000007</v>
      </c>
      <c r="AA199">
        <v>235770</v>
      </c>
      <c r="AB199">
        <v>0</v>
      </c>
      <c r="AC199">
        <v>1674909.62</v>
      </c>
      <c r="AD199">
        <v>7577173.71</v>
      </c>
      <c r="AE199">
        <v>7107399.71</v>
      </c>
      <c r="AF199">
        <v>246746</v>
      </c>
      <c r="AZ199">
        <v>4554</v>
      </c>
      <c r="BA199" t="s">
        <v>393</v>
      </c>
      <c r="BB199">
        <v>12041510.449999999</v>
      </c>
      <c r="BC199">
        <v>12399701.25</v>
      </c>
      <c r="BD199">
        <v>393008</v>
      </c>
      <c r="BG199">
        <v>4554</v>
      </c>
      <c r="BH199" t="s">
        <v>393</v>
      </c>
      <c r="BI199">
        <v>0</v>
      </c>
      <c r="BJ199">
        <v>1314570.3799999999</v>
      </c>
    </row>
    <row r="200" spans="1:62" x14ac:dyDescent="0.25">
      <c r="A200">
        <v>4536</v>
      </c>
      <c r="B200" t="s">
        <v>392</v>
      </c>
      <c r="C200">
        <v>54881.95</v>
      </c>
      <c r="D200">
        <v>1235010.42</v>
      </c>
      <c r="E200">
        <v>18714828.23</v>
      </c>
      <c r="F200">
        <v>19260550.600000001</v>
      </c>
      <c r="G200">
        <v>757620</v>
      </c>
      <c r="H200">
        <v>81117.05</v>
      </c>
      <c r="I200">
        <v>474607.11</v>
      </c>
      <c r="J200">
        <v>18307322.129999999</v>
      </c>
      <c r="K200">
        <v>18874114.23</v>
      </c>
      <c r="L200">
        <v>828781</v>
      </c>
      <c r="M200">
        <v>98691.45</v>
      </c>
      <c r="N200">
        <v>851242.53</v>
      </c>
      <c r="O200">
        <v>19969162.140000001</v>
      </c>
      <c r="P200">
        <v>19604566.840000004</v>
      </c>
      <c r="Q200">
        <v>838640</v>
      </c>
      <c r="R200">
        <v>95135.6</v>
      </c>
      <c r="S200">
        <v>1880937.95</v>
      </c>
      <c r="T200">
        <v>20683816.190000001</v>
      </c>
      <c r="U200">
        <v>19662322.050000001</v>
      </c>
      <c r="V200">
        <v>771909</v>
      </c>
      <c r="W200">
        <v>89360.91</v>
      </c>
      <c r="X200">
        <v>2231097.46</v>
      </c>
      <c r="Y200">
        <v>20256219.27</v>
      </c>
      <c r="Z200">
        <v>19924520.02</v>
      </c>
      <c r="AA200">
        <v>771905</v>
      </c>
      <c r="AB200">
        <v>82826.25</v>
      </c>
      <c r="AC200">
        <v>2197575.7400000002</v>
      </c>
      <c r="AD200">
        <v>20742670.420000002</v>
      </c>
      <c r="AE200">
        <v>20756757.409999996</v>
      </c>
      <c r="AF200">
        <v>796816</v>
      </c>
      <c r="AZ200">
        <v>4572</v>
      </c>
      <c r="BA200" t="s">
        <v>394</v>
      </c>
      <c r="BB200">
        <v>3374240.86</v>
      </c>
      <c r="BC200">
        <v>3273867.7100000004</v>
      </c>
      <c r="BD200">
        <v>106725</v>
      </c>
      <c r="BG200">
        <v>4572</v>
      </c>
      <c r="BH200" t="s">
        <v>394</v>
      </c>
      <c r="BI200">
        <v>0</v>
      </c>
      <c r="BJ200">
        <v>1731794.97</v>
      </c>
    </row>
    <row r="201" spans="1:62" x14ac:dyDescent="0.25">
      <c r="A201">
        <v>4554</v>
      </c>
      <c r="B201" t="s">
        <v>393</v>
      </c>
      <c r="C201">
        <v>0</v>
      </c>
      <c r="D201">
        <v>510859.61</v>
      </c>
      <c r="E201">
        <v>10330181.75</v>
      </c>
      <c r="F201">
        <v>10368750.630000001</v>
      </c>
      <c r="G201">
        <v>372851</v>
      </c>
      <c r="H201">
        <v>0</v>
      </c>
      <c r="I201">
        <v>197753.56</v>
      </c>
      <c r="J201">
        <v>10218077.390000001</v>
      </c>
      <c r="K201">
        <v>10474592.509999998</v>
      </c>
      <c r="L201">
        <v>408485</v>
      </c>
      <c r="M201">
        <v>0</v>
      </c>
      <c r="N201">
        <v>1402779.28</v>
      </c>
      <c r="O201">
        <v>11582688.68</v>
      </c>
      <c r="P201">
        <v>10377081.08</v>
      </c>
      <c r="Q201">
        <v>423338</v>
      </c>
      <c r="R201">
        <v>0</v>
      </c>
      <c r="S201">
        <v>1934136.3</v>
      </c>
      <c r="T201">
        <v>11559347.66</v>
      </c>
      <c r="U201">
        <v>11080679.34</v>
      </c>
      <c r="V201">
        <v>389218</v>
      </c>
      <c r="W201">
        <v>0</v>
      </c>
      <c r="X201">
        <v>941753.21</v>
      </c>
      <c r="Y201">
        <v>11609805.560000001</v>
      </c>
      <c r="Z201">
        <v>12023635.18</v>
      </c>
      <c r="AA201">
        <v>393008</v>
      </c>
      <c r="AB201">
        <v>0</v>
      </c>
      <c r="AC201">
        <v>988363.67</v>
      </c>
      <c r="AD201">
        <v>12041510.449999999</v>
      </c>
      <c r="AE201">
        <v>12399701.25</v>
      </c>
      <c r="AF201">
        <v>411234</v>
      </c>
      <c r="AZ201">
        <v>4581</v>
      </c>
      <c r="BA201" t="s">
        <v>395</v>
      </c>
      <c r="BB201">
        <v>54070658.090000004</v>
      </c>
      <c r="BC201">
        <v>52458216.050000004</v>
      </c>
      <c r="BD201">
        <v>2010185</v>
      </c>
      <c r="BG201">
        <v>4581</v>
      </c>
      <c r="BH201" t="s">
        <v>395</v>
      </c>
      <c r="BI201">
        <v>0</v>
      </c>
      <c r="BJ201">
        <v>7776876.5599999996</v>
      </c>
    </row>
    <row r="202" spans="1:62" x14ac:dyDescent="0.25">
      <c r="A202">
        <v>4572</v>
      </c>
      <c r="B202" t="s">
        <v>394</v>
      </c>
      <c r="C202">
        <v>358106.87</v>
      </c>
      <c r="D202">
        <v>434046.86</v>
      </c>
      <c r="E202">
        <v>2908136.81</v>
      </c>
      <c r="F202">
        <v>3002321.1100000003</v>
      </c>
      <c r="G202">
        <v>99389</v>
      </c>
      <c r="H202">
        <v>354380.22</v>
      </c>
      <c r="I202">
        <v>441827.97</v>
      </c>
      <c r="J202">
        <v>2947271.5</v>
      </c>
      <c r="K202">
        <v>2929615.49</v>
      </c>
      <c r="L202">
        <v>112442</v>
      </c>
      <c r="M202">
        <v>0</v>
      </c>
      <c r="N202">
        <v>723354.39</v>
      </c>
      <c r="O202">
        <v>3344319.03</v>
      </c>
      <c r="P202">
        <v>2994936.6799999997</v>
      </c>
      <c r="Q202">
        <v>121611</v>
      </c>
      <c r="R202">
        <v>0</v>
      </c>
      <c r="S202">
        <v>1030783.3</v>
      </c>
      <c r="T202">
        <v>3370894.34</v>
      </c>
      <c r="U202">
        <v>2996930.83</v>
      </c>
      <c r="V202">
        <v>107445</v>
      </c>
      <c r="W202">
        <v>0</v>
      </c>
      <c r="X202">
        <v>1267374.96</v>
      </c>
      <c r="Y202">
        <v>3369221.32</v>
      </c>
      <c r="Z202">
        <v>3224263.3499999996</v>
      </c>
      <c r="AA202">
        <v>106725</v>
      </c>
      <c r="AB202">
        <v>0</v>
      </c>
      <c r="AC202">
        <v>1347338.36</v>
      </c>
      <c r="AD202">
        <v>3374240.86</v>
      </c>
      <c r="AE202">
        <v>3273867.7100000004</v>
      </c>
      <c r="AF202">
        <v>111880</v>
      </c>
      <c r="AZ202">
        <v>4599</v>
      </c>
      <c r="BA202" t="s">
        <v>396</v>
      </c>
      <c r="BB202">
        <v>6637399.4500000002</v>
      </c>
      <c r="BC202">
        <v>6642247.9999999991</v>
      </c>
      <c r="BD202">
        <v>252521</v>
      </c>
      <c r="BG202">
        <v>4599</v>
      </c>
      <c r="BH202" t="s">
        <v>396</v>
      </c>
      <c r="BI202">
        <v>0</v>
      </c>
      <c r="BJ202">
        <v>1079176.3700000001</v>
      </c>
    </row>
    <row r="203" spans="1:62" x14ac:dyDescent="0.25">
      <c r="A203">
        <v>4581</v>
      </c>
      <c r="B203" t="s">
        <v>395</v>
      </c>
      <c r="C203">
        <v>4607.7</v>
      </c>
      <c r="D203">
        <v>3348105.79</v>
      </c>
      <c r="E203">
        <v>45955721.890000001</v>
      </c>
      <c r="F203">
        <v>48381527.840000004</v>
      </c>
      <c r="G203">
        <v>1949818</v>
      </c>
      <c r="H203">
        <v>2118.6999999999998</v>
      </c>
      <c r="I203">
        <v>1423117.95</v>
      </c>
      <c r="J203">
        <v>46835481.240000002</v>
      </c>
      <c r="K203">
        <v>48184663.599999994</v>
      </c>
      <c r="L203">
        <v>2178281</v>
      </c>
      <c r="M203">
        <v>0</v>
      </c>
      <c r="N203">
        <v>2268672.04</v>
      </c>
      <c r="O203">
        <v>49648185.490000002</v>
      </c>
      <c r="P203">
        <v>48188902.549999997</v>
      </c>
      <c r="Q203">
        <v>2205295</v>
      </c>
      <c r="R203">
        <v>0</v>
      </c>
      <c r="S203">
        <v>3204864.08</v>
      </c>
      <c r="T203">
        <v>51455057.210000001</v>
      </c>
      <c r="U203">
        <v>50516777.789999999</v>
      </c>
      <c r="V203">
        <v>1998046</v>
      </c>
      <c r="W203">
        <v>0</v>
      </c>
      <c r="X203">
        <v>3681740.22</v>
      </c>
      <c r="Y203">
        <v>51019255.530000001</v>
      </c>
      <c r="Z203">
        <v>51395946.160000004</v>
      </c>
      <c r="AA203">
        <v>2010185</v>
      </c>
      <c r="AB203">
        <v>0</v>
      </c>
      <c r="AC203">
        <v>5138457.03</v>
      </c>
      <c r="AD203">
        <v>54070658.090000004</v>
      </c>
      <c r="AE203">
        <v>52458216.050000004</v>
      </c>
      <c r="AF203">
        <v>2100120</v>
      </c>
      <c r="AZ203">
        <v>4617</v>
      </c>
      <c r="BA203" t="s">
        <v>397</v>
      </c>
      <c r="BB203">
        <v>15538210.93</v>
      </c>
      <c r="BC203">
        <v>15258323.889999999</v>
      </c>
      <c r="BD203">
        <v>533548</v>
      </c>
      <c r="BG203">
        <v>4617</v>
      </c>
      <c r="BH203" t="s">
        <v>397</v>
      </c>
      <c r="BI203">
        <v>174038.15</v>
      </c>
      <c r="BJ203">
        <v>1389044.9</v>
      </c>
    </row>
    <row r="204" spans="1:62" x14ac:dyDescent="0.25">
      <c r="A204">
        <v>4599</v>
      </c>
      <c r="B204" t="s">
        <v>396</v>
      </c>
      <c r="C204">
        <v>0</v>
      </c>
      <c r="D204">
        <v>497699.77</v>
      </c>
      <c r="E204">
        <v>6242953.5999999996</v>
      </c>
      <c r="F204">
        <v>6247232.4699999997</v>
      </c>
      <c r="G204">
        <v>246919</v>
      </c>
      <c r="H204">
        <v>0</v>
      </c>
      <c r="I204">
        <v>564144.93999999994</v>
      </c>
      <c r="J204">
        <v>6347052.2400000002</v>
      </c>
      <c r="K204">
        <v>6198365.9100000001</v>
      </c>
      <c r="L204">
        <v>291059</v>
      </c>
      <c r="M204">
        <v>0</v>
      </c>
      <c r="N204">
        <v>756514.63</v>
      </c>
      <c r="O204">
        <v>6532883.0800000001</v>
      </c>
      <c r="P204">
        <v>6347673.8399999999</v>
      </c>
      <c r="Q204">
        <v>292258</v>
      </c>
      <c r="R204">
        <v>0</v>
      </c>
      <c r="S204">
        <v>1062053.96</v>
      </c>
      <c r="T204">
        <v>6653062.8399999999</v>
      </c>
      <c r="U204">
        <v>6354440.8099999987</v>
      </c>
      <c r="V204">
        <v>262337</v>
      </c>
      <c r="W204">
        <v>0</v>
      </c>
      <c r="X204">
        <v>1187596.22</v>
      </c>
      <c r="Y204">
        <v>6626225.8799999999</v>
      </c>
      <c r="Z204">
        <v>6397071.8300000001</v>
      </c>
      <c r="AA204">
        <v>252521</v>
      </c>
      <c r="AB204">
        <v>0</v>
      </c>
      <c r="AC204">
        <v>1077603.79</v>
      </c>
      <c r="AD204">
        <v>6637399.4500000002</v>
      </c>
      <c r="AE204">
        <v>6642247.9999999991</v>
      </c>
      <c r="AF204">
        <v>261145</v>
      </c>
      <c r="AZ204">
        <v>4662</v>
      </c>
      <c r="BA204" t="s">
        <v>398</v>
      </c>
      <c r="BB204">
        <v>10807255.199999999</v>
      </c>
      <c r="BC204">
        <v>10421016.560000001</v>
      </c>
      <c r="BD204">
        <v>410546</v>
      </c>
      <c r="BG204">
        <v>4662</v>
      </c>
      <c r="BH204" t="s">
        <v>398</v>
      </c>
      <c r="BI204">
        <v>7121.94</v>
      </c>
      <c r="BJ204">
        <v>503195.77</v>
      </c>
    </row>
    <row r="205" spans="1:62" x14ac:dyDescent="0.25">
      <c r="A205">
        <v>4617</v>
      </c>
      <c r="B205" t="s">
        <v>397</v>
      </c>
      <c r="C205">
        <v>54000</v>
      </c>
      <c r="D205">
        <v>519196.82</v>
      </c>
      <c r="E205">
        <v>13581712.49</v>
      </c>
      <c r="F205">
        <v>13659912.9</v>
      </c>
      <c r="G205">
        <v>506098</v>
      </c>
      <c r="H205">
        <v>54000</v>
      </c>
      <c r="I205">
        <v>516917.79</v>
      </c>
      <c r="J205">
        <v>13457724.98</v>
      </c>
      <c r="K205">
        <v>13314275.289999999</v>
      </c>
      <c r="L205">
        <v>553617</v>
      </c>
      <c r="M205">
        <v>98861.97</v>
      </c>
      <c r="N205">
        <v>1224275.77</v>
      </c>
      <c r="O205">
        <v>14548489.59</v>
      </c>
      <c r="P205">
        <v>13698277.440000001</v>
      </c>
      <c r="Q205">
        <v>560349</v>
      </c>
      <c r="R205">
        <v>102279.91</v>
      </c>
      <c r="S205">
        <v>1659617.39</v>
      </c>
      <c r="T205">
        <v>14589333.880000001</v>
      </c>
      <c r="U205">
        <v>14077389.180000002</v>
      </c>
      <c r="V205">
        <v>508759</v>
      </c>
      <c r="W205">
        <v>171039.65</v>
      </c>
      <c r="X205">
        <v>1526537.44</v>
      </c>
      <c r="Y205">
        <v>14737144.98</v>
      </c>
      <c r="Z205">
        <v>14975331.310000001</v>
      </c>
      <c r="AA205">
        <v>533548</v>
      </c>
      <c r="AB205">
        <v>181780.42</v>
      </c>
      <c r="AC205">
        <v>1617971.89</v>
      </c>
      <c r="AD205">
        <v>15538210.93</v>
      </c>
      <c r="AE205">
        <v>15258323.889999999</v>
      </c>
      <c r="AF205">
        <v>563800</v>
      </c>
      <c r="AZ205">
        <v>4689</v>
      </c>
      <c r="BA205" t="s">
        <v>399</v>
      </c>
      <c r="BB205">
        <v>5680876.0300000003</v>
      </c>
      <c r="BC205">
        <v>5808669.6900000004</v>
      </c>
      <c r="BD205">
        <v>200350</v>
      </c>
      <c r="BG205">
        <v>4689</v>
      </c>
      <c r="BH205" t="s">
        <v>399</v>
      </c>
      <c r="BI205">
        <v>0</v>
      </c>
      <c r="BJ205">
        <v>635291.09</v>
      </c>
    </row>
    <row r="206" spans="1:62" x14ac:dyDescent="0.25">
      <c r="A206">
        <v>4662</v>
      </c>
      <c r="B206" t="s">
        <v>398</v>
      </c>
      <c r="C206">
        <v>0</v>
      </c>
      <c r="D206">
        <v>786773.29</v>
      </c>
      <c r="E206">
        <v>9909694.6199999992</v>
      </c>
      <c r="F206">
        <v>10004998.52</v>
      </c>
      <c r="G206">
        <v>420686</v>
      </c>
      <c r="H206">
        <v>0</v>
      </c>
      <c r="I206">
        <v>304447.15000000002</v>
      </c>
      <c r="J206">
        <v>9887061.1600000001</v>
      </c>
      <c r="K206">
        <v>9962238.75</v>
      </c>
      <c r="L206">
        <v>455648</v>
      </c>
      <c r="M206">
        <v>0</v>
      </c>
      <c r="N206">
        <v>606631.88</v>
      </c>
      <c r="O206">
        <v>10480930.98</v>
      </c>
      <c r="P206">
        <v>10483898.540000001</v>
      </c>
      <c r="Q206">
        <v>454695</v>
      </c>
      <c r="R206">
        <v>7121.94</v>
      </c>
      <c r="S206">
        <v>391729.41</v>
      </c>
      <c r="T206">
        <v>10127267.24</v>
      </c>
      <c r="U206">
        <v>10412390.649999999</v>
      </c>
      <c r="V206">
        <v>410210</v>
      </c>
      <c r="W206">
        <v>7121.94</v>
      </c>
      <c r="X206">
        <v>199866.37</v>
      </c>
      <c r="Y206">
        <v>10294555.99</v>
      </c>
      <c r="Z206">
        <v>10509456.08</v>
      </c>
      <c r="AA206">
        <v>410546</v>
      </c>
      <c r="AB206">
        <v>7121.94</v>
      </c>
      <c r="AC206">
        <v>629413.51</v>
      </c>
      <c r="AD206">
        <v>10807255.199999999</v>
      </c>
      <c r="AE206">
        <v>10421016.560000001</v>
      </c>
      <c r="AF206">
        <v>422810</v>
      </c>
      <c r="AZ206">
        <v>4644</v>
      </c>
      <c r="BA206" t="s">
        <v>400</v>
      </c>
      <c r="BB206">
        <v>4968537.83</v>
      </c>
      <c r="BC206">
        <v>4929343.0199999996</v>
      </c>
      <c r="BD206">
        <v>180516</v>
      </c>
      <c r="BG206">
        <v>4644</v>
      </c>
      <c r="BH206" t="s">
        <v>400</v>
      </c>
      <c r="BI206">
        <v>0</v>
      </c>
      <c r="BJ206">
        <v>867570.17</v>
      </c>
    </row>
    <row r="207" spans="1:62" x14ac:dyDescent="0.25">
      <c r="A207">
        <v>4689</v>
      </c>
      <c r="B207" t="s">
        <v>399</v>
      </c>
      <c r="C207">
        <v>0</v>
      </c>
      <c r="D207">
        <v>-5959.75</v>
      </c>
      <c r="E207">
        <v>5253405.5599999996</v>
      </c>
      <c r="F207">
        <v>5186575.8399999989</v>
      </c>
      <c r="G207">
        <v>201220</v>
      </c>
      <c r="H207">
        <v>0</v>
      </c>
      <c r="I207">
        <v>-117050.88</v>
      </c>
      <c r="J207">
        <v>5169563.54</v>
      </c>
      <c r="K207">
        <v>5204252.59</v>
      </c>
      <c r="L207">
        <v>219068</v>
      </c>
      <c r="M207">
        <v>0</v>
      </c>
      <c r="N207">
        <v>39777.449999999997</v>
      </c>
      <c r="O207">
        <v>5370245.2300000004</v>
      </c>
      <c r="P207">
        <v>5302051.2600000007</v>
      </c>
      <c r="Q207">
        <v>220536</v>
      </c>
      <c r="R207">
        <v>0</v>
      </c>
      <c r="S207">
        <v>611257.64</v>
      </c>
      <c r="T207">
        <v>5906531.6900000004</v>
      </c>
      <c r="U207">
        <v>5309836.4400000004</v>
      </c>
      <c r="V207">
        <v>202238</v>
      </c>
      <c r="W207">
        <v>0</v>
      </c>
      <c r="X207">
        <v>735722.99</v>
      </c>
      <c r="Y207">
        <v>5563895.8799999999</v>
      </c>
      <c r="Z207">
        <v>5426933.3999999985</v>
      </c>
      <c r="AA207">
        <v>200350</v>
      </c>
      <c r="AB207">
        <v>0</v>
      </c>
      <c r="AC207">
        <v>576081.56000000006</v>
      </c>
      <c r="AD207">
        <v>5680876.0300000003</v>
      </c>
      <c r="AE207">
        <v>5808669.6900000004</v>
      </c>
      <c r="AF207">
        <v>208130</v>
      </c>
      <c r="AZ207">
        <v>4725</v>
      </c>
      <c r="BA207" t="s">
        <v>401</v>
      </c>
      <c r="BB207">
        <v>29607412.440000001</v>
      </c>
      <c r="BC207">
        <v>30107676.719999999</v>
      </c>
      <c r="BD207">
        <v>1114015</v>
      </c>
      <c r="BG207">
        <v>4725</v>
      </c>
      <c r="BH207" t="s">
        <v>401</v>
      </c>
      <c r="BI207">
        <v>0</v>
      </c>
      <c r="BJ207">
        <v>2021082.45</v>
      </c>
    </row>
    <row r="208" spans="1:62" x14ac:dyDescent="0.25">
      <c r="A208">
        <v>4644</v>
      </c>
      <c r="B208" t="s">
        <v>400</v>
      </c>
      <c r="C208">
        <v>0</v>
      </c>
      <c r="D208">
        <v>754750.91</v>
      </c>
      <c r="E208">
        <v>4088362.12</v>
      </c>
      <c r="F208">
        <v>3869958.09</v>
      </c>
      <c r="G208">
        <v>162268</v>
      </c>
      <c r="H208">
        <v>0</v>
      </c>
      <c r="I208">
        <v>749809.83</v>
      </c>
      <c r="J208">
        <v>4133436.17</v>
      </c>
      <c r="K208">
        <v>4022866.1199999996</v>
      </c>
      <c r="L208">
        <v>175916</v>
      </c>
      <c r="M208">
        <v>0</v>
      </c>
      <c r="N208">
        <v>728009.49</v>
      </c>
      <c r="O208">
        <v>4323264.7699999996</v>
      </c>
      <c r="P208">
        <v>4267023.43</v>
      </c>
      <c r="Q208">
        <v>177753</v>
      </c>
      <c r="R208">
        <v>0</v>
      </c>
      <c r="S208">
        <v>909208.3</v>
      </c>
      <c r="T208">
        <v>4768756.67</v>
      </c>
      <c r="U208">
        <v>4561108.2299999995</v>
      </c>
      <c r="V208">
        <v>172010</v>
      </c>
      <c r="W208">
        <v>0</v>
      </c>
      <c r="X208">
        <v>1036448.98</v>
      </c>
      <c r="Y208">
        <v>4873493.1399999997</v>
      </c>
      <c r="Z208">
        <v>4708538.01</v>
      </c>
      <c r="AA208">
        <v>180516</v>
      </c>
      <c r="AB208">
        <v>0</v>
      </c>
      <c r="AC208">
        <v>1016916.53</v>
      </c>
      <c r="AD208">
        <v>4968537.83</v>
      </c>
      <c r="AE208">
        <v>4929343.0199999996</v>
      </c>
      <c r="AF208">
        <v>186393</v>
      </c>
      <c r="AZ208">
        <v>2673</v>
      </c>
      <c r="BA208" t="s">
        <v>604</v>
      </c>
      <c r="BB208">
        <v>7508421.4100000001</v>
      </c>
      <c r="BC208">
        <v>7151800.7699999996</v>
      </c>
      <c r="BD208">
        <v>253363</v>
      </c>
      <c r="BG208">
        <v>2673</v>
      </c>
      <c r="BH208" t="s">
        <v>604</v>
      </c>
      <c r="BI208">
        <v>0</v>
      </c>
      <c r="BJ208">
        <v>1803560.4</v>
      </c>
    </row>
    <row r="209" spans="1:62" x14ac:dyDescent="0.25">
      <c r="A209">
        <v>4725</v>
      </c>
      <c r="B209" t="s">
        <v>401</v>
      </c>
      <c r="C209">
        <v>0</v>
      </c>
      <c r="D209">
        <v>2730130.66</v>
      </c>
      <c r="E209">
        <v>28177709.030000001</v>
      </c>
      <c r="F209">
        <v>27827648.389999997</v>
      </c>
      <c r="G209">
        <v>1149159</v>
      </c>
      <c r="H209">
        <v>0</v>
      </c>
      <c r="I209">
        <v>1658466.27</v>
      </c>
      <c r="J209">
        <v>27315384.68</v>
      </c>
      <c r="K209">
        <v>28163111.73</v>
      </c>
      <c r="L209">
        <v>1235280</v>
      </c>
      <c r="M209">
        <v>0</v>
      </c>
      <c r="N209">
        <v>2533921.79</v>
      </c>
      <c r="O209">
        <v>29231593.84</v>
      </c>
      <c r="P209">
        <v>28063065.219999999</v>
      </c>
      <c r="Q209">
        <v>1245501</v>
      </c>
      <c r="R209">
        <v>0</v>
      </c>
      <c r="S209">
        <v>2867922.65</v>
      </c>
      <c r="T209">
        <v>29248499.530000001</v>
      </c>
      <c r="U209">
        <v>28188105.120000001</v>
      </c>
      <c r="V209">
        <v>1116069</v>
      </c>
      <c r="W209">
        <v>0</v>
      </c>
      <c r="X209">
        <v>2572336.36</v>
      </c>
      <c r="Y209">
        <v>29591122.079999998</v>
      </c>
      <c r="Z209">
        <v>30396881.349999998</v>
      </c>
      <c r="AA209">
        <v>1114015</v>
      </c>
      <c r="AB209">
        <v>0</v>
      </c>
      <c r="AC209">
        <v>1860545.65</v>
      </c>
      <c r="AD209">
        <v>29607412.440000001</v>
      </c>
      <c r="AE209">
        <v>30107676.719999999</v>
      </c>
      <c r="AF209">
        <v>1154066</v>
      </c>
      <c r="AZ209">
        <v>153</v>
      </c>
      <c r="BA209" t="s">
        <v>596</v>
      </c>
      <c r="BB209">
        <v>6953012.1799999997</v>
      </c>
      <c r="BC209">
        <v>6985657.3200000003</v>
      </c>
      <c r="BD209">
        <v>232260</v>
      </c>
      <c r="BG209">
        <v>153</v>
      </c>
      <c r="BH209" t="s">
        <v>596</v>
      </c>
      <c r="BI209">
        <v>0</v>
      </c>
      <c r="BJ209">
        <v>-78536.08</v>
      </c>
    </row>
    <row r="210" spans="1:62" x14ac:dyDescent="0.25">
      <c r="A210">
        <v>2673</v>
      </c>
      <c r="B210" t="s">
        <v>402</v>
      </c>
      <c r="C210">
        <v>0</v>
      </c>
      <c r="D210">
        <v>-200936.27</v>
      </c>
      <c r="E210">
        <v>6525156.5899999999</v>
      </c>
      <c r="F210">
        <v>7156640.2500000009</v>
      </c>
      <c r="G210">
        <v>261611</v>
      </c>
      <c r="H210">
        <v>0</v>
      </c>
      <c r="I210">
        <v>-1111345.6499999999</v>
      </c>
      <c r="J210">
        <v>6157084.5999999996</v>
      </c>
      <c r="K210">
        <v>6830090.6500000004</v>
      </c>
      <c r="L210">
        <v>287118</v>
      </c>
      <c r="M210">
        <v>0</v>
      </c>
      <c r="N210">
        <v>-405386.44</v>
      </c>
      <c r="O210">
        <v>8225321.1699999999</v>
      </c>
      <c r="P210">
        <v>7397416.79</v>
      </c>
      <c r="Q210">
        <v>288384</v>
      </c>
      <c r="R210">
        <v>0</v>
      </c>
      <c r="S210">
        <v>184159.14</v>
      </c>
      <c r="T210">
        <v>7595065.1399999997</v>
      </c>
      <c r="U210">
        <v>6933620.6600000001</v>
      </c>
      <c r="V210">
        <v>251017</v>
      </c>
      <c r="W210">
        <v>0</v>
      </c>
      <c r="X210">
        <v>620207.63</v>
      </c>
      <c r="Y210">
        <v>7423675.8300000001</v>
      </c>
      <c r="Z210">
        <v>7141299.6199999992</v>
      </c>
      <c r="AA210">
        <v>253363</v>
      </c>
      <c r="AB210">
        <v>0</v>
      </c>
      <c r="AC210">
        <v>1126233.97</v>
      </c>
      <c r="AD210">
        <v>7508421.4100000001</v>
      </c>
      <c r="AE210">
        <v>7151800.7699999996</v>
      </c>
      <c r="AF210">
        <v>261941</v>
      </c>
      <c r="AZ210">
        <v>3691</v>
      </c>
      <c r="BA210" t="s">
        <v>404</v>
      </c>
      <c r="BB210">
        <v>8611174.2200000007</v>
      </c>
      <c r="BC210">
        <v>9507906.8300000001</v>
      </c>
      <c r="BD210">
        <v>347442</v>
      </c>
      <c r="BG210">
        <v>3691</v>
      </c>
      <c r="BH210" t="s">
        <v>404</v>
      </c>
      <c r="BI210">
        <v>975.1</v>
      </c>
      <c r="BJ210">
        <v>599076.01</v>
      </c>
    </row>
    <row r="211" spans="1:62" x14ac:dyDescent="0.25">
      <c r="A211">
        <v>153</v>
      </c>
      <c r="B211" t="s">
        <v>403</v>
      </c>
      <c r="C211">
        <v>0</v>
      </c>
      <c r="D211">
        <v>304314.31</v>
      </c>
      <c r="E211">
        <v>3262917.77</v>
      </c>
      <c r="F211">
        <v>3186302.81</v>
      </c>
      <c r="G211">
        <v>104703</v>
      </c>
      <c r="H211">
        <v>0</v>
      </c>
      <c r="I211">
        <v>72846.28</v>
      </c>
      <c r="J211">
        <v>3160887.25</v>
      </c>
      <c r="K211">
        <v>3390223.27</v>
      </c>
      <c r="L211">
        <v>129679</v>
      </c>
      <c r="M211">
        <v>0</v>
      </c>
      <c r="N211">
        <v>121504.5</v>
      </c>
      <c r="O211">
        <v>3293571.32</v>
      </c>
      <c r="P211">
        <v>3251900.65</v>
      </c>
      <c r="Q211">
        <v>130993</v>
      </c>
      <c r="R211">
        <v>0</v>
      </c>
      <c r="S211">
        <v>472968.79</v>
      </c>
      <c r="T211">
        <v>7385389.4800000004</v>
      </c>
      <c r="U211">
        <v>7230621.6100000003</v>
      </c>
      <c r="V211">
        <v>231657</v>
      </c>
      <c r="W211">
        <v>0</v>
      </c>
      <c r="X211">
        <v>-12859.68</v>
      </c>
      <c r="Y211">
        <v>7062637.3499999996</v>
      </c>
      <c r="Z211">
        <v>7471775.7400000002</v>
      </c>
      <c r="AA211">
        <v>232260</v>
      </c>
      <c r="AB211">
        <v>0</v>
      </c>
      <c r="AC211">
        <v>-221109.72</v>
      </c>
      <c r="AD211">
        <v>6953012.1799999997</v>
      </c>
      <c r="AE211">
        <v>6985657.3200000003</v>
      </c>
      <c r="AF211">
        <v>250114</v>
      </c>
      <c r="AZ211">
        <v>4774</v>
      </c>
      <c r="BA211" t="s">
        <v>405</v>
      </c>
      <c r="BB211">
        <v>9896640.2200000007</v>
      </c>
      <c r="BC211">
        <v>9776959.3000000007</v>
      </c>
      <c r="BD211">
        <v>338515</v>
      </c>
      <c r="BG211">
        <v>4774</v>
      </c>
      <c r="BH211" t="s">
        <v>405</v>
      </c>
      <c r="BI211">
        <v>0</v>
      </c>
      <c r="BJ211">
        <v>1110825.01</v>
      </c>
    </row>
    <row r="212" spans="1:62" x14ac:dyDescent="0.25">
      <c r="A212">
        <v>3691</v>
      </c>
      <c r="B212" t="s">
        <v>404</v>
      </c>
      <c r="C212">
        <v>0</v>
      </c>
      <c r="D212">
        <v>1618913.43</v>
      </c>
      <c r="E212">
        <v>8427756.2699999996</v>
      </c>
      <c r="F212">
        <v>8453273.8999999985</v>
      </c>
      <c r="G212">
        <v>339105</v>
      </c>
      <c r="H212">
        <v>0</v>
      </c>
      <c r="I212">
        <v>1244114.51</v>
      </c>
      <c r="J212">
        <v>8389127.9499999993</v>
      </c>
      <c r="K212">
        <v>8717418.8000000007</v>
      </c>
      <c r="L212">
        <v>377231</v>
      </c>
      <c r="M212">
        <v>0</v>
      </c>
      <c r="N212">
        <v>1478820.9</v>
      </c>
      <c r="O212">
        <v>9098712.0199999996</v>
      </c>
      <c r="P212">
        <v>8806752.75</v>
      </c>
      <c r="Q212">
        <v>385045</v>
      </c>
      <c r="R212">
        <v>825.93</v>
      </c>
      <c r="S212">
        <v>1961345.18</v>
      </c>
      <c r="T212">
        <v>9276446.7200000007</v>
      </c>
      <c r="U212">
        <v>8744090.8300000001</v>
      </c>
      <c r="V212">
        <v>344996</v>
      </c>
      <c r="W212">
        <v>893.46</v>
      </c>
      <c r="X212">
        <v>1540722.64</v>
      </c>
      <c r="Y212">
        <v>8802582.6099999994</v>
      </c>
      <c r="Z212">
        <v>9241653.6399999987</v>
      </c>
      <c r="AA212">
        <v>347442</v>
      </c>
      <c r="AB212">
        <v>1209.1300000000001</v>
      </c>
      <c r="AC212">
        <v>734277.69</v>
      </c>
      <c r="AD212">
        <v>8611174.2200000007</v>
      </c>
      <c r="AE212">
        <v>9507906.8300000001</v>
      </c>
      <c r="AF212">
        <v>354791</v>
      </c>
      <c r="AZ212">
        <v>873</v>
      </c>
      <c r="BA212" t="s">
        <v>406</v>
      </c>
      <c r="BB212">
        <v>4999117.2699999996</v>
      </c>
      <c r="BC212">
        <v>5112056.53</v>
      </c>
      <c r="BD212">
        <v>192272</v>
      </c>
      <c r="BG212">
        <v>873</v>
      </c>
      <c r="BH212" t="s">
        <v>406</v>
      </c>
      <c r="BI212">
        <v>24228</v>
      </c>
      <c r="BJ212">
        <v>553336.53</v>
      </c>
    </row>
    <row r="213" spans="1:62" x14ac:dyDescent="0.25">
      <c r="A213">
        <v>4774</v>
      </c>
      <c r="B213" t="s">
        <v>405</v>
      </c>
      <c r="C213">
        <v>0</v>
      </c>
      <c r="D213">
        <v>685023.17</v>
      </c>
      <c r="E213">
        <v>8775088.1799999997</v>
      </c>
      <c r="F213">
        <v>8695652.3100000005</v>
      </c>
      <c r="G213">
        <v>355848</v>
      </c>
      <c r="H213">
        <v>0</v>
      </c>
      <c r="I213">
        <v>474191.28</v>
      </c>
      <c r="J213">
        <v>8290836.0499999998</v>
      </c>
      <c r="K213">
        <v>8658375.0199999996</v>
      </c>
      <c r="L213">
        <v>379576</v>
      </c>
      <c r="M213">
        <v>0</v>
      </c>
      <c r="N213">
        <v>244764.57</v>
      </c>
      <c r="O213">
        <v>8713766.9199999999</v>
      </c>
      <c r="P213">
        <v>8782573.0900000017</v>
      </c>
      <c r="Q213">
        <v>380930</v>
      </c>
      <c r="R213">
        <v>0</v>
      </c>
      <c r="S213">
        <v>650004.22</v>
      </c>
      <c r="T213">
        <v>8961022.8300000001</v>
      </c>
      <c r="U213">
        <v>8523999.4499999993</v>
      </c>
      <c r="V213">
        <v>339978</v>
      </c>
      <c r="W213">
        <v>0</v>
      </c>
      <c r="X213">
        <v>836533.16</v>
      </c>
      <c r="Y213">
        <v>8668976.8699999992</v>
      </c>
      <c r="Z213">
        <v>8567464.4800000004</v>
      </c>
      <c r="AA213">
        <v>338515</v>
      </c>
      <c r="AB213">
        <v>0</v>
      </c>
      <c r="AC213">
        <v>882657.13</v>
      </c>
      <c r="AD213">
        <v>9896640.2200000007</v>
      </c>
      <c r="AE213">
        <v>9776959.3000000007</v>
      </c>
      <c r="AF213">
        <v>349020</v>
      </c>
      <c r="AZ213">
        <v>4778</v>
      </c>
      <c r="BA213" t="s">
        <v>407</v>
      </c>
      <c r="BB213">
        <v>4478849.42</v>
      </c>
      <c r="BC213">
        <v>4349221.22</v>
      </c>
      <c r="BD213">
        <v>133020</v>
      </c>
      <c r="BG213">
        <v>4778</v>
      </c>
      <c r="BH213" t="s">
        <v>407</v>
      </c>
      <c r="BI213">
        <v>0</v>
      </c>
      <c r="BJ213">
        <v>841464.13</v>
      </c>
    </row>
    <row r="214" spans="1:62" x14ac:dyDescent="0.25">
      <c r="A214">
        <v>873</v>
      </c>
      <c r="B214" t="s">
        <v>406</v>
      </c>
      <c r="C214">
        <v>0</v>
      </c>
      <c r="D214">
        <v>16066.46</v>
      </c>
      <c r="E214">
        <v>5335127.16</v>
      </c>
      <c r="F214">
        <v>5436987.5599999996</v>
      </c>
      <c r="G214">
        <v>199417</v>
      </c>
      <c r="H214">
        <v>0</v>
      </c>
      <c r="I214">
        <v>-241694.59</v>
      </c>
      <c r="J214">
        <v>4989971.7699999996</v>
      </c>
      <c r="K214">
        <v>5188698.6099999994</v>
      </c>
      <c r="L214">
        <v>225553</v>
      </c>
      <c r="M214">
        <v>18760.810000000001</v>
      </c>
      <c r="N214">
        <v>372345.18</v>
      </c>
      <c r="O214">
        <v>5543447.9000000004</v>
      </c>
      <c r="P214">
        <v>4907477.2899999991</v>
      </c>
      <c r="Q214">
        <v>225243</v>
      </c>
      <c r="R214">
        <v>17485.95</v>
      </c>
      <c r="S214">
        <v>917415.82</v>
      </c>
      <c r="T214">
        <v>5437536.4000000004</v>
      </c>
      <c r="U214">
        <v>4950403.05</v>
      </c>
      <c r="V214">
        <v>200090</v>
      </c>
      <c r="W214">
        <v>20290.849999999999</v>
      </c>
      <c r="X214">
        <v>1133063.49</v>
      </c>
      <c r="Y214">
        <v>5055151.45</v>
      </c>
      <c r="Z214">
        <v>4852435.57</v>
      </c>
      <c r="AA214">
        <v>192272</v>
      </c>
      <c r="AB214">
        <v>21651.06</v>
      </c>
      <c r="AC214">
        <v>953642.79</v>
      </c>
      <c r="AD214">
        <v>4999117.2699999996</v>
      </c>
      <c r="AE214">
        <v>5112056.53</v>
      </c>
      <c r="AF214">
        <v>196446</v>
      </c>
      <c r="AZ214">
        <v>4777</v>
      </c>
      <c r="BA214" t="s">
        <v>408</v>
      </c>
      <c r="BB214">
        <v>6609089.1299999999</v>
      </c>
      <c r="BC214">
        <v>6973462.6600000001</v>
      </c>
      <c r="BD214">
        <v>268363</v>
      </c>
      <c r="BG214">
        <v>4777</v>
      </c>
      <c r="BH214" t="s">
        <v>408</v>
      </c>
      <c r="BI214">
        <v>0</v>
      </c>
      <c r="BJ214">
        <v>1494345.48</v>
      </c>
    </row>
    <row r="215" spans="1:62" x14ac:dyDescent="0.25">
      <c r="A215">
        <v>4778</v>
      </c>
      <c r="B215" t="s">
        <v>407</v>
      </c>
      <c r="C215">
        <v>0</v>
      </c>
      <c r="D215">
        <v>264862.74</v>
      </c>
      <c r="E215">
        <v>3776566.32</v>
      </c>
      <c r="F215">
        <v>3792172.7100000004</v>
      </c>
      <c r="G215">
        <v>136215</v>
      </c>
      <c r="H215">
        <v>0</v>
      </c>
      <c r="I215">
        <v>306737.28000000003</v>
      </c>
      <c r="J215">
        <v>4008489.81</v>
      </c>
      <c r="K215">
        <v>3946021.7099999995</v>
      </c>
      <c r="L215">
        <v>150507</v>
      </c>
      <c r="M215">
        <v>0</v>
      </c>
      <c r="N215">
        <v>650753.23</v>
      </c>
      <c r="O215">
        <v>4360666.1100000003</v>
      </c>
      <c r="P215">
        <v>3988611.1399999997</v>
      </c>
      <c r="Q215">
        <v>152354</v>
      </c>
      <c r="R215">
        <v>0</v>
      </c>
      <c r="S215">
        <v>1028946.48</v>
      </c>
      <c r="T215">
        <v>4442011.8899999997</v>
      </c>
      <c r="U215">
        <v>4095437.75</v>
      </c>
      <c r="V215">
        <v>131538</v>
      </c>
      <c r="W215">
        <v>0</v>
      </c>
      <c r="X215">
        <v>724145.27</v>
      </c>
      <c r="Y215">
        <v>4076728.25</v>
      </c>
      <c r="Z215">
        <v>4351707.99</v>
      </c>
      <c r="AA215">
        <v>133020</v>
      </c>
      <c r="AB215">
        <v>0</v>
      </c>
      <c r="AC215">
        <v>754091.76</v>
      </c>
      <c r="AD215">
        <v>4478849.42</v>
      </c>
      <c r="AE215">
        <v>4349221.22</v>
      </c>
      <c r="AF215">
        <v>138742</v>
      </c>
      <c r="AZ215">
        <v>4776</v>
      </c>
      <c r="BA215" t="s">
        <v>409</v>
      </c>
      <c r="BB215">
        <v>5680478</v>
      </c>
      <c r="BC215">
        <v>5409613.6200000001</v>
      </c>
      <c r="BD215">
        <v>197639</v>
      </c>
      <c r="BG215">
        <v>4776</v>
      </c>
      <c r="BH215" t="s">
        <v>409</v>
      </c>
      <c r="BI215">
        <v>0</v>
      </c>
      <c r="BJ215">
        <v>958212.3</v>
      </c>
    </row>
    <row r="216" spans="1:62" x14ac:dyDescent="0.25">
      <c r="A216">
        <v>4777</v>
      </c>
      <c r="B216" t="s">
        <v>408</v>
      </c>
      <c r="C216">
        <v>0</v>
      </c>
      <c r="D216">
        <v>441823.82</v>
      </c>
      <c r="E216">
        <v>6755897.04</v>
      </c>
      <c r="F216">
        <v>6641374.1500000004</v>
      </c>
      <c r="G216">
        <v>263980</v>
      </c>
      <c r="H216">
        <v>0</v>
      </c>
      <c r="I216">
        <v>414406.06</v>
      </c>
      <c r="J216">
        <v>6917382.9699999997</v>
      </c>
      <c r="K216">
        <v>6869148.9300000006</v>
      </c>
      <c r="L216">
        <v>290858</v>
      </c>
      <c r="M216">
        <v>57512.85</v>
      </c>
      <c r="N216">
        <v>705198.42</v>
      </c>
      <c r="O216">
        <v>7349847.6200000001</v>
      </c>
      <c r="P216">
        <v>7029896.1199999992</v>
      </c>
      <c r="Q216">
        <v>300338</v>
      </c>
      <c r="R216">
        <v>0</v>
      </c>
      <c r="S216">
        <v>1310633.43</v>
      </c>
      <c r="T216">
        <v>7300805.1299999999</v>
      </c>
      <c r="U216">
        <v>6688113.5499999998</v>
      </c>
      <c r="V216">
        <v>271391</v>
      </c>
      <c r="W216">
        <v>0</v>
      </c>
      <c r="X216">
        <v>988363.87</v>
      </c>
      <c r="Y216">
        <v>6975357.4100000001</v>
      </c>
      <c r="Z216">
        <v>7240759.0699999994</v>
      </c>
      <c r="AA216">
        <v>268363</v>
      </c>
      <c r="AB216">
        <v>0</v>
      </c>
      <c r="AC216">
        <v>640862.05000000005</v>
      </c>
      <c r="AD216">
        <v>6609089.1299999999</v>
      </c>
      <c r="AE216">
        <v>6973462.6600000001</v>
      </c>
      <c r="AF216">
        <v>273921</v>
      </c>
      <c r="AZ216">
        <v>4779</v>
      </c>
      <c r="BA216" t="s">
        <v>410</v>
      </c>
      <c r="BB216">
        <v>13647924.949999999</v>
      </c>
      <c r="BC216">
        <v>13024535.870000001</v>
      </c>
      <c r="BD216">
        <v>471552</v>
      </c>
      <c r="BG216">
        <v>4779</v>
      </c>
      <c r="BH216" t="s">
        <v>410</v>
      </c>
      <c r="BI216">
        <v>121185.68</v>
      </c>
      <c r="BJ216">
        <v>3459075.45</v>
      </c>
    </row>
    <row r="217" spans="1:62" x14ac:dyDescent="0.25">
      <c r="A217">
        <v>4776</v>
      </c>
      <c r="B217" t="s">
        <v>409</v>
      </c>
      <c r="C217">
        <v>180000</v>
      </c>
      <c r="D217">
        <v>193997.19</v>
      </c>
      <c r="E217">
        <v>4780896.8600000003</v>
      </c>
      <c r="F217">
        <v>5090868.7300000004</v>
      </c>
      <c r="G217">
        <v>200559</v>
      </c>
      <c r="H217">
        <v>0</v>
      </c>
      <c r="I217">
        <v>94196.96</v>
      </c>
      <c r="J217">
        <v>4822736.0999999996</v>
      </c>
      <c r="K217">
        <v>5073352.92</v>
      </c>
      <c r="L217">
        <v>213983</v>
      </c>
      <c r="M217">
        <v>0</v>
      </c>
      <c r="N217">
        <v>318394.74</v>
      </c>
      <c r="O217">
        <v>5396031.9699999997</v>
      </c>
      <c r="P217">
        <v>5139907.92</v>
      </c>
      <c r="Q217">
        <v>216272</v>
      </c>
      <c r="R217">
        <v>0</v>
      </c>
      <c r="S217">
        <v>677771.02</v>
      </c>
      <c r="T217">
        <v>5438469.5899999999</v>
      </c>
      <c r="U217">
        <v>5090195.79</v>
      </c>
      <c r="V217">
        <v>197409</v>
      </c>
      <c r="W217">
        <v>0</v>
      </c>
      <c r="X217">
        <v>415212.59</v>
      </c>
      <c r="Y217">
        <v>5333299.59</v>
      </c>
      <c r="Z217">
        <v>5540904.4400000004</v>
      </c>
      <c r="AA217">
        <v>197639</v>
      </c>
      <c r="AB217">
        <v>0</v>
      </c>
      <c r="AC217">
        <v>623361.67000000004</v>
      </c>
      <c r="AD217">
        <v>5680478</v>
      </c>
      <c r="AE217">
        <v>5409613.6200000001</v>
      </c>
      <c r="AF217">
        <v>213576</v>
      </c>
      <c r="AZ217">
        <v>4784</v>
      </c>
      <c r="BA217" t="s">
        <v>411</v>
      </c>
      <c r="BB217">
        <v>29463650.329999998</v>
      </c>
      <c r="BC217">
        <v>28926849.010000002</v>
      </c>
      <c r="BD217">
        <v>1100135</v>
      </c>
      <c r="BG217">
        <v>4784</v>
      </c>
      <c r="BH217" t="s">
        <v>411</v>
      </c>
      <c r="BI217">
        <v>188587.96</v>
      </c>
      <c r="BJ217">
        <v>4810425.38</v>
      </c>
    </row>
    <row r="218" spans="1:62" x14ac:dyDescent="0.25">
      <c r="A218">
        <v>4779</v>
      </c>
      <c r="B218" t="s">
        <v>410</v>
      </c>
      <c r="C218">
        <v>0</v>
      </c>
      <c r="D218">
        <v>1540897.66</v>
      </c>
      <c r="E218">
        <v>9627408.9600000009</v>
      </c>
      <c r="F218">
        <v>9893695.0299999993</v>
      </c>
      <c r="G218">
        <v>377956</v>
      </c>
      <c r="H218">
        <v>800000</v>
      </c>
      <c r="I218">
        <v>322800.38</v>
      </c>
      <c r="J218">
        <v>10174288.439999999</v>
      </c>
      <c r="K218">
        <v>10556324.01</v>
      </c>
      <c r="L218">
        <v>441730</v>
      </c>
      <c r="M218">
        <v>0</v>
      </c>
      <c r="N218">
        <v>577474.57999999996</v>
      </c>
      <c r="O218">
        <v>11765189.550000001</v>
      </c>
      <c r="P218">
        <v>10998195.76</v>
      </c>
      <c r="Q218">
        <v>473163</v>
      </c>
      <c r="R218">
        <v>56719.94</v>
      </c>
      <c r="S218">
        <v>653656.75</v>
      </c>
      <c r="T218">
        <v>12160360.35</v>
      </c>
      <c r="U218">
        <v>11616530.960000001</v>
      </c>
      <c r="V218">
        <v>451679</v>
      </c>
      <c r="W218">
        <v>75321.66</v>
      </c>
      <c r="X218">
        <v>979196.04</v>
      </c>
      <c r="Y218">
        <v>12495200.35</v>
      </c>
      <c r="Z218">
        <v>12250373.859999999</v>
      </c>
      <c r="AA218">
        <v>471552</v>
      </c>
      <c r="AB218">
        <v>98625.65</v>
      </c>
      <c r="AC218">
        <v>1787723.48</v>
      </c>
      <c r="AD218">
        <v>13647924.949999999</v>
      </c>
      <c r="AE218">
        <v>13024535.870000001</v>
      </c>
      <c r="AF218">
        <v>516116</v>
      </c>
      <c r="AZ218">
        <v>4785</v>
      </c>
      <c r="BA218" t="s">
        <v>412</v>
      </c>
      <c r="BB218">
        <v>5194615.4000000004</v>
      </c>
      <c r="BC218">
        <v>4994922.6100000013</v>
      </c>
      <c r="BD218">
        <v>207749</v>
      </c>
      <c r="BG218">
        <v>4785</v>
      </c>
      <c r="BH218" t="s">
        <v>412</v>
      </c>
      <c r="BI218">
        <v>0</v>
      </c>
      <c r="BJ218">
        <v>933562.91</v>
      </c>
    </row>
    <row r="219" spans="1:62" x14ac:dyDescent="0.25">
      <c r="A219">
        <v>4784</v>
      </c>
      <c r="B219" t="s">
        <v>411</v>
      </c>
      <c r="C219">
        <v>56851</v>
      </c>
      <c r="D219">
        <v>3629572.73</v>
      </c>
      <c r="E219">
        <v>27285260.640000001</v>
      </c>
      <c r="F219">
        <v>26941551.369999997</v>
      </c>
      <c r="G219">
        <v>1046272</v>
      </c>
      <c r="H219">
        <v>106162.8</v>
      </c>
      <c r="I219">
        <v>2714737.04</v>
      </c>
      <c r="J219">
        <v>26461186.739999998</v>
      </c>
      <c r="K219">
        <v>27246010.289999999</v>
      </c>
      <c r="L219">
        <v>1139829</v>
      </c>
      <c r="M219">
        <v>106733.09</v>
      </c>
      <c r="N219">
        <v>2343328.15</v>
      </c>
      <c r="O219">
        <v>28113225.969999999</v>
      </c>
      <c r="P219">
        <v>27307996.670000002</v>
      </c>
      <c r="Q219">
        <v>1172973</v>
      </c>
      <c r="R219">
        <v>115596.84</v>
      </c>
      <c r="S219">
        <v>4453435.32</v>
      </c>
      <c r="T219">
        <v>29084996.640000001</v>
      </c>
      <c r="U219">
        <v>27936749.900000002</v>
      </c>
      <c r="V219">
        <v>1070395</v>
      </c>
      <c r="W219">
        <v>123082.73</v>
      </c>
      <c r="X219">
        <v>4459088.71</v>
      </c>
      <c r="Y219">
        <v>28855556.050000001</v>
      </c>
      <c r="Z219">
        <v>28821739.220000003</v>
      </c>
      <c r="AA219">
        <v>1100135</v>
      </c>
      <c r="AB219">
        <v>160043.19</v>
      </c>
      <c r="AC219">
        <v>5005296.2300000004</v>
      </c>
      <c r="AD219">
        <v>29463650.329999998</v>
      </c>
      <c r="AE219">
        <v>28926849.010000002</v>
      </c>
      <c r="AF219">
        <v>1155323</v>
      </c>
      <c r="AZ219">
        <v>333</v>
      </c>
      <c r="BA219" t="s">
        <v>597</v>
      </c>
      <c r="BB219">
        <v>4070742.07</v>
      </c>
      <c r="BC219">
        <v>4498737.1500000004</v>
      </c>
      <c r="BD219">
        <v>125086</v>
      </c>
      <c r="BG219">
        <v>333</v>
      </c>
      <c r="BH219" t="s">
        <v>597</v>
      </c>
      <c r="BI219">
        <v>0</v>
      </c>
      <c r="BJ219">
        <v>1177110.6299999999</v>
      </c>
    </row>
    <row r="220" spans="1:62" x14ac:dyDescent="0.25">
      <c r="A220">
        <v>4785</v>
      </c>
      <c r="B220" t="s">
        <v>412</v>
      </c>
      <c r="C220">
        <v>0</v>
      </c>
      <c r="D220">
        <v>675565.2</v>
      </c>
      <c r="E220">
        <v>5106225.5599999996</v>
      </c>
      <c r="F220">
        <v>4931019.58</v>
      </c>
      <c r="G220">
        <v>193592</v>
      </c>
      <c r="H220">
        <v>0</v>
      </c>
      <c r="I220">
        <v>583867.71</v>
      </c>
      <c r="J220">
        <v>4933240.01</v>
      </c>
      <c r="K220">
        <v>5006138.1099999994</v>
      </c>
      <c r="L220">
        <v>222954</v>
      </c>
      <c r="M220">
        <v>0</v>
      </c>
      <c r="N220">
        <v>911869.84</v>
      </c>
      <c r="O220">
        <v>5386981.5300000003</v>
      </c>
      <c r="P220">
        <v>5030734.3500000006</v>
      </c>
      <c r="Q220">
        <v>234364</v>
      </c>
      <c r="R220">
        <v>0</v>
      </c>
      <c r="S220">
        <v>1043168.97</v>
      </c>
      <c r="T220">
        <v>5275336.0599999996</v>
      </c>
      <c r="U220">
        <v>5061649.16</v>
      </c>
      <c r="V220">
        <v>214497</v>
      </c>
      <c r="W220">
        <v>0</v>
      </c>
      <c r="X220">
        <v>888518.82</v>
      </c>
      <c r="Y220">
        <v>5169106.18</v>
      </c>
      <c r="Z220">
        <v>5303243.5200000005</v>
      </c>
      <c r="AA220">
        <v>207749</v>
      </c>
      <c r="AB220">
        <v>0</v>
      </c>
      <c r="AC220">
        <v>1117519.73</v>
      </c>
      <c r="AD220">
        <v>5194615.4000000004</v>
      </c>
      <c r="AE220">
        <v>4994922.6100000013</v>
      </c>
      <c r="AF220">
        <v>214122</v>
      </c>
      <c r="AZ220">
        <v>4787</v>
      </c>
      <c r="BA220" t="s">
        <v>414</v>
      </c>
      <c r="BB220">
        <v>3695827.51</v>
      </c>
      <c r="BC220">
        <v>3611412.99</v>
      </c>
      <c r="BD220">
        <v>115390</v>
      </c>
      <c r="BG220">
        <v>4787</v>
      </c>
      <c r="BH220" t="s">
        <v>414</v>
      </c>
      <c r="BI220">
        <v>0</v>
      </c>
      <c r="BJ220">
        <v>392478.26</v>
      </c>
    </row>
    <row r="221" spans="1:62" x14ac:dyDescent="0.25">
      <c r="A221">
        <v>333</v>
      </c>
      <c r="B221" t="s">
        <v>413</v>
      </c>
      <c r="C221">
        <v>0</v>
      </c>
      <c r="D221">
        <v>-72890.33</v>
      </c>
      <c r="E221">
        <v>3572398.82</v>
      </c>
      <c r="F221">
        <v>3541831.01</v>
      </c>
      <c r="G221">
        <v>126265</v>
      </c>
      <c r="H221">
        <v>0</v>
      </c>
      <c r="I221">
        <v>136501.96</v>
      </c>
      <c r="J221">
        <v>3558878.82</v>
      </c>
      <c r="K221">
        <v>3437380.66</v>
      </c>
      <c r="L221">
        <v>140280</v>
      </c>
      <c r="M221">
        <v>0</v>
      </c>
      <c r="N221">
        <v>1130820.06</v>
      </c>
      <c r="O221">
        <v>4382213.09</v>
      </c>
      <c r="P221">
        <v>3582476.18</v>
      </c>
      <c r="Q221">
        <v>139246</v>
      </c>
      <c r="R221">
        <v>0</v>
      </c>
      <c r="S221">
        <v>1523317.95</v>
      </c>
      <c r="T221">
        <v>4183694.47</v>
      </c>
      <c r="U221">
        <v>3793684.9400000004</v>
      </c>
      <c r="V221">
        <v>123774</v>
      </c>
      <c r="W221">
        <v>0</v>
      </c>
      <c r="X221">
        <v>1691237.18</v>
      </c>
      <c r="Y221">
        <v>4454073.37</v>
      </c>
      <c r="Z221">
        <v>4278254.59</v>
      </c>
      <c r="AA221">
        <v>125086</v>
      </c>
      <c r="AB221">
        <v>0</v>
      </c>
      <c r="AC221">
        <v>1255416.6599999999</v>
      </c>
      <c r="AD221">
        <v>4070742.07</v>
      </c>
      <c r="AE221">
        <v>4498737.1500000004</v>
      </c>
      <c r="AF221">
        <v>129339</v>
      </c>
      <c r="AZ221">
        <v>4773</v>
      </c>
      <c r="BA221" t="s">
        <v>415</v>
      </c>
      <c r="BB221">
        <v>7846619.1799999997</v>
      </c>
      <c r="BC221">
        <v>8248730.3300000001</v>
      </c>
      <c r="BD221">
        <v>192298</v>
      </c>
      <c r="BG221">
        <v>4773</v>
      </c>
      <c r="BH221" t="s">
        <v>415</v>
      </c>
      <c r="BI221">
        <v>0</v>
      </c>
      <c r="BJ221">
        <v>766092.5</v>
      </c>
    </row>
    <row r="222" spans="1:62" x14ac:dyDescent="0.25">
      <c r="A222">
        <v>4787</v>
      </c>
      <c r="B222" t="s">
        <v>414</v>
      </c>
      <c r="C222">
        <v>0</v>
      </c>
      <c r="D222">
        <v>164207.57</v>
      </c>
      <c r="E222">
        <v>3360843.6</v>
      </c>
      <c r="F222">
        <v>3372036.73</v>
      </c>
      <c r="G222">
        <v>118943</v>
      </c>
      <c r="H222">
        <v>0</v>
      </c>
      <c r="I222">
        <v>-37902.89</v>
      </c>
      <c r="J222">
        <v>3236756.94</v>
      </c>
      <c r="K222">
        <v>3438867.4</v>
      </c>
      <c r="L222">
        <v>128700</v>
      </c>
      <c r="M222">
        <v>0</v>
      </c>
      <c r="N222">
        <v>86444.55</v>
      </c>
      <c r="O222">
        <v>3565045.43</v>
      </c>
      <c r="P222">
        <v>3440697.99</v>
      </c>
      <c r="Q222">
        <v>130898</v>
      </c>
      <c r="R222">
        <v>0</v>
      </c>
      <c r="S222">
        <v>40576.36</v>
      </c>
      <c r="T222">
        <v>3451347.77</v>
      </c>
      <c r="U222">
        <v>3497215.96</v>
      </c>
      <c r="V222">
        <v>114219</v>
      </c>
      <c r="W222">
        <v>0</v>
      </c>
      <c r="X222">
        <v>19364.23</v>
      </c>
      <c r="Y222">
        <v>3507866.94</v>
      </c>
      <c r="Z222">
        <v>3529079.0700000003</v>
      </c>
      <c r="AA222">
        <v>115390</v>
      </c>
      <c r="AB222">
        <v>0</v>
      </c>
      <c r="AC222">
        <v>91555.16</v>
      </c>
      <c r="AD222">
        <v>3695827.51</v>
      </c>
      <c r="AE222">
        <v>3611412.99</v>
      </c>
      <c r="AF222">
        <v>121067</v>
      </c>
      <c r="AZ222">
        <v>4775</v>
      </c>
      <c r="BA222" t="s">
        <v>416</v>
      </c>
      <c r="BB222">
        <v>2508189.3199999998</v>
      </c>
      <c r="BC222">
        <v>2830175.4499999997</v>
      </c>
      <c r="BD222">
        <v>99675</v>
      </c>
      <c r="BG222">
        <v>4775</v>
      </c>
      <c r="BH222" t="s">
        <v>416</v>
      </c>
      <c r="BI222">
        <v>685.35</v>
      </c>
      <c r="BJ222">
        <v>1119163.3400000001</v>
      </c>
    </row>
    <row r="223" spans="1:62" x14ac:dyDescent="0.25">
      <c r="A223">
        <v>4773</v>
      </c>
      <c r="B223" t="s">
        <v>415</v>
      </c>
      <c r="C223">
        <v>0</v>
      </c>
      <c r="D223">
        <v>995328.79</v>
      </c>
      <c r="E223">
        <v>6133118.5700000003</v>
      </c>
      <c r="F223">
        <v>6446200.6700000009</v>
      </c>
      <c r="G223">
        <v>199657</v>
      </c>
      <c r="H223">
        <v>0</v>
      </c>
      <c r="I223">
        <v>796328.82</v>
      </c>
      <c r="J223">
        <v>6321493.7000000002</v>
      </c>
      <c r="K223">
        <v>6462437.9100000001</v>
      </c>
      <c r="L223">
        <v>214498</v>
      </c>
      <c r="M223">
        <v>0</v>
      </c>
      <c r="N223">
        <v>1145172.98</v>
      </c>
      <c r="O223">
        <v>6918365.9699999997</v>
      </c>
      <c r="P223">
        <v>6534664.6500000004</v>
      </c>
      <c r="Q223">
        <v>216762</v>
      </c>
      <c r="R223">
        <v>0</v>
      </c>
      <c r="S223">
        <v>1634544.73</v>
      </c>
      <c r="T223">
        <v>7719844.1600000001</v>
      </c>
      <c r="U223">
        <v>7271226.5599999996</v>
      </c>
      <c r="V223">
        <v>192652</v>
      </c>
      <c r="W223">
        <v>0</v>
      </c>
      <c r="X223">
        <v>1454304.62</v>
      </c>
      <c r="Y223">
        <v>7592123.5199999996</v>
      </c>
      <c r="Z223">
        <v>7703442.2100000009</v>
      </c>
      <c r="AA223">
        <v>192298</v>
      </c>
      <c r="AB223">
        <v>0</v>
      </c>
      <c r="AC223">
        <v>1055031.74</v>
      </c>
      <c r="AD223">
        <v>7846619.1799999997</v>
      </c>
      <c r="AE223">
        <v>8248730.3300000001</v>
      </c>
      <c r="AF223">
        <v>207731</v>
      </c>
      <c r="AZ223">
        <v>4788</v>
      </c>
      <c r="BA223" t="s">
        <v>417</v>
      </c>
      <c r="BB223">
        <v>5269285.58</v>
      </c>
      <c r="BC223">
        <v>5630097.5799999991</v>
      </c>
      <c r="BD223">
        <v>199014</v>
      </c>
      <c r="BG223">
        <v>4788</v>
      </c>
      <c r="BH223" t="s">
        <v>417</v>
      </c>
      <c r="BI223">
        <v>0</v>
      </c>
      <c r="BJ223">
        <v>719394.87</v>
      </c>
    </row>
    <row r="224" spans="1:62" x14ac:dyDescent="0.25">
      <c r="A224">
        <v>4775</v>
      </c>
      <c r="B224" t="s">
        <v>416</v>
      </c>
      <c r="C224">
        <v>0</v>
      </c>
      <c r="D224">
        <v>181223.84</v>
      </c>
      <c r="E224">
        <v>2545953.88</v>
      </c>
      <c r="F224">
        <v>2868910.7800000003</v>
      </c>
      <c r="G224">
        <v>101256</v>
      </c>
      <c r="H224">
        <v>0</v>
      </c>
      <c r="I224">
        <v>39507.269999999997</v>
      </c>
      <c r="J224">
        <v>2714987.21</v>
      </c>
      <c r="K224">
        <v>2829251.38</v>
      </c>
      <c r="L224">
        <v>110512</v>
      </c>
      <c r="M224">
        <v>0</v>
      </c>
      <c r="N224">
        <v>420085.75</v>
      </c>
      <c r="O224">
        <v>3245786.92</v>
      </c>
      <c r="P224">
        <v>2847852</v>
      </c>
      <c r="Q224">
        <v>111640</v>
      </c>
      <c r="R224">
        <v>0</v>
      </c>
      <c r="S224">
        <v>999012.34</v>
      </c>
      <c r="T224">
        <v>3438739.72</v>
      </c>
      <c r="U224">
        <v>2813516.02</v>
      </c>
      <c r="V224">
        <v>101432</v>
      </c>
      <c r="W224">
        <v>0</v>
      </c>
      <c r="X224">
        <v>1365246.22</v>
      </c>
      <c r="Y224">
        <v>2802052.85</v>
      </c>
      <c r="Z224">
        <v>2433815.2999999998</v>
      </c>
      <c r="AA224">
        <v>99675</v>
      </c>
      <c r="AB224">
        <v>0</v>
      </c>
      <c r="AC224">
        <v>1075985.02</v>
      </c>
      <c r="AD224">
        <v>2508189.3199999998</v>
      </c>
      <c r="AE224">
        <v>2830175.4499999997</v>
      </c>
      <c r="AF224">
        <v>102407</v>
      </c>
      <c r="AZ224">
        <v>4797</v>
      </c>
      <c r="BA224" t="s">
        <v>418</v>
      </c>
      <c r="BB224">
        <v>23226752.43</v>
      </c>
      <c r="BC224">
        <v>23206977.659999996</v>
      </c>
      <c r="BD224">
        <v>875191</v>
      </c>
      <c r="BG224">
        <v>4797</v>
      </c>
      <c r="BH224" t="s">
        <v>418</v>
      </c>
      <c r="BI224">
        <v>147877.92000000001</v>
      </c>
      <c r="BJ224">
        <v>4157086.39</v>
      </c>
    </row>
    <row r="225" spans="1:62" x14ac:dyDescent="0.25">
      <c r="A225">
        <v>4788</v>
      </c>
      <c r="B225" t="s">
        <v>417</v>
      </c>
      <c r="C225">
        <v>0</v>
      </c>
      <c r="D225">
        <v>1126121.71</v>
      </c>
      <c r="E225">
        <v>5057610.8899999997</v>
      </c>
      <c r="F225">
        <v>4812916.6399999997</v>
      </c>
      <c r="G225">
        <v>181370</v>
      </c>
      <c r="H225">
        <v>0</v>
      </c>
      <c r="I225">
        <v>960805.86</v>
      </c>
      <c r="J225">
        <v>4989208.05</v>
      </c>
      <c r="K225">
        <v>5050678.2</v>
      </c>
      <c r="L225">
        <v>215037</v>
      </c>
      <c r="M225">
        <v>0</v>
      </c>
      <c r="N225">
        <v>856564.77</v>
      </c>
      <c r="O225">
        <v>5173689.04</v>
      </c>
      <c r="P225">
        <v>5212518.8099999996</v>
      </c>
      <c r="Q225">
        <v>228179</v>
      </c>
      <c r="R225">
        <v>0</v>
      </c>
      <c r="S225">
        <v>1102215.53</v>
      </c>
      <c r="T225">
        <v>5425919.3099999996</v>
      </c>
      <c r="U225">
        <v>5317872.72</v>
      </c>
      <c r="V225">
        <v>206859</v>
      </c>
      <c r="W225">
        <v>0</v>
      </c>
      <c r="X225">
        <v>909386.57</v>
      </c>
      <c r="Y225">
        <v>5244874.37</v>
      </c>
      <c r="Z225">
        <v>5388850.5800000001</v>
      </c>
      <c r="AA225">
        <v>199014</v>
      </c>
      <c r="AB225">
        <v>0</v>
      </c>
      <c r="AC225">
        <v>493303.17</v>
      </c>
      <c r="AD225">
        <v>5269285.58</v>
      </c>
      <c r="AE225">
        <v>5630097.5799999991</v>
      </c>
      <c r="AF225">
        <v>205387</v>
      </c>
      <c r="AZ225">
        <v>4860</v>
      </c>
      <c r="BA225" t="s">
        <v>419</v>
      </c>
      <c r="BB225">
        <v>4411256.67</v>
      </c>
      <c r="BC225">
        <v>4397037.49</v>
      </c>
      <c r="BD225">
        <v>126828</v>
      </c>
      <c r="BG225">
        <v>4860</v>
      </c>
      <c r="BH225" t="s">
        <v>419</v>
      </c>
      <c r="BI225">
        <v>0</v>
      </c>
      <c r="BJ225">
        <v>992715.03</v>
      </c>
    </row>
    <row r="226" spans="1:62" x14ac:dyDescent="0.25">
      <c r="A226">
        <v>4797</v>
      </c>
      <c r="B226" t="s">
        <v>418</v>
      </c>
      <c r="C226">
        <v>119478.93</v>
      </c>
      <c r="D226">
        <v>6087177.5</v>
      </c>
      <c r="E226">
        <v>19991096.670000002</v>
      </c>
      <c r="F226">
        <v>19936175.539999999</v>
      </c>
      <c r="G226">
        <v>801976</v>
      </c>
      <c r="H226">
        <v>156803.04999999999</v>
      </c>
      <c r="I226">
        <v>5141663.09</v>
      </c>
      <c r="J226">
        <v>19694166.489999998</v>
      </c>
      <c r="K226">
        <v>20564003.390000001</v>
      </c>
      <c r="L226">
        <v>872252</v>
      </c>
      <c r="M226">
        <v>3393652.65</v>
      </c>
      <c r="N226">
        <v>1863502.62</v>
      </c>
      <c r="O226">
        <v>21326939.52</v>
      </c>
      <c r="P226">
        <v>21357436.529999994</v>
      </c>
      <c r="Q226">
        <v>905307</v>
      </c>
      <c r="R226">
        <v>90145</v>
      </c>
      <c r="S226">
        <v>4428525</v>
      </c>
      <c r="T226">
        <v>21829760.059999999</v>
      </c>
      <c r="U226">
        <v>21810661.699999996</v>
      </c>
      <c r="V226">
        <v>855274</v>
      </c>
      <c r="W226">
        <v>118758.03</v>
      </c>
      <c r="X226">
        <v>4262674.17</v>
      </c>
      <c r="Y226">
        <v>22113910.600000001</v>
      </c>
      <c r="Z226">
        <v>22187351.629999995</v>
      </c>
      <c r="AA226">
        <v>875191</v>
      </c>
      <c r="AB226">
        <v>112642.23</v>
      </c>
      <c r="AC226">
        <v>3901449.12</v>
      </c>
      <c r="AD226">
        <v>23226752.43</v>
      </c>
      <c r="AE226">
        <v>23206977.659999996</v>
      </c>
      <c r="AF226">
        <v>938669</v>
      </c>
      <c r="AZ226">
        <v>4869</v>
      </c>
      <c r="BA226" t="s">
        <v>420</v>
      </c>
      <c r="BB226">
        <v>13711112.82</v>
      </c>
      <c r="BC226">
        <v>14090491.970000001</v>
      </c>
      <c r="BD226">
        <v>547626</v>
      </c>
      <c r="BG226">
        <v>4869</v>
      </c>
      <c r="BH226" t="s">
        <v>420</v>
      </c>
      <c r="BI226">
        <v>0</v>
      </c>
      <c r="BJ226">
        <v>4373160.32</v>
      </c>
    </row>
    <row r="227" spans="1:62" x14ac:dyDescent="0.25">
      <c r="A227">
        <v>4860</v>
      </c>
      <c r="B227" t="s">
        <v>419</v>
      </c>
      <c r="C227">
        <v>0</v>
      </c>
      <c r="D227">
        <v>27362.31</v>
      </c>
      <c r="E227">
        <v>3194766.31</v>
      </c>
      <c r="F227">
        <v>3599429.51</v>
      </c>
      <c r="G227">
        <v>126913</v>
      </c>
      <c r="H227">
        <v>0</v>
      </c>
      <c r="I227">
        <v>84461.6</v>
      </c>
      <c r="J227">
        <v>4201390.72</v>
      </c>
      <c r="K227">
        <v>4115749.1799999997</v>
      </c>
      <c r="L227">
        <v>140290</v>
      </c>
      <c r="M227">
        <v>0</v>
      </c>
      <c r="N227">
        <v>433236.16</v>
      </c>
      <c r="O227">
        <v>4458647.6500000004</v>
      </c>
      <c r="P227">
        <v>4109873.09</v>
      </c>
      <c r="Q227">
        <v>139785</v>
      </c>
      <c r="R227">
        <v>0</v>
      </c>
      <c r="S227">
        <v>878200.46</v>
      </c>
      <c r="T227">
        <v>4693948.7</v>
      </c>
      <c r="U227">
        <v>4248984.4000000004</v>
      </c>
      <c r="V227">
        <v>124326</v>
      </c>
      <c r="W227">
        <v>0</v>
      </c>
      <c r="X227">
        <v>1075048.76</v>
      </c>
      <c r="Y227">
        <v>4680605.75</v>
      </c>
      <c r="Z227">
        <v>4448446</v>
      </c>
      <c r="AA227">
        <v>126828</v>
      </c>
      <c r="AB227">
        <v>0</v>
      </c>
      <c r="AC227">
        <v>1058267.81</v>
      </c>
      <c r="AD227">
        <v>4411256.67</v>
      </c>
      <c r="AE227">
        <v>4397037.49</v>
      </c>
      <c r="AF227">
        <v>131672</v>
      </c>
      <c r="AZ227">
        <v>4878</v>
      </c>
      <c r="BA227" t="s">
        <v>421</v>
      </c>
      <c r="BB227">
        <v>6779401.7000000002</v>
      </c>
      <c r="BC227">
        <v>6735552.3299999991</v>
      </c>
      <c r="BD227">
        <v>240882</v>
      </c>
      <c r="BG227">
        <v>4878</v>
      </c>
      <c r="BH227" t="s">
        <v>421</v>
      </c>
      <c r="BI227">
        <v>0</v>
      </c>
      <c r="BJ227">
        <v>1708779.28</v>
      </c>
    </row>
    <row r="228" spans="1:62" x14ac:dyDescent="0.25">
      <c r="A228">
        <v>4869</v>
      </c>
      <c r="B228" t="s">
        <v>420</v>
      </c>
      <c r="C228">
        <v>0</v>
      </c>
      <c r="D228">
        <v>1231117.6000000001</v>
      </c>
      <c r="E228">
        <v>13408847.560000001</v>
      </c>
      <c r="F228">
        <v>13437113.060000001</v>
      </c>
      <c r="G228">
        <v>538116</v>
      </c>
      <c r="H228">
        <v>0</v>
      </c>
      <c r="I228">
        <v>544492.63</v>
      </c>
      <c r="J228">
        <v>13402733.789999999</v>
      </c>
      <c r="K228">
        <v>13330869.43</v>
      </c>
      <c r="L228">
        <v>604776</v>
      </c>
      <c r="M228">
        <v>0</v>
      </c>
      <c r="N228">
        <v>1792597.08</v>
      </c>
      <c r="O228">
        <v>13728148.07</v>
      </c>
      <c r="P228">
        <v>13007351.800000001</v>
      </c>
      <c r="Q228">
        <v>602564</v>
      </c>
      <c r="R228">
        <v>0</v>
      </c>
      <c r="S228">
        <v>3521582.6</v>
      </c>
      <c r="T228">
        <v>14589484.92</v>
      </c>
      <c r="U228">
        <v>12567735.950000001</v>
      </c>
      <c r="V228">
        <v>538839</v>
      </c>
      <c r="W228">
        <v>0</v>
      </c>
      <c r="X228">
        <v>4759430.74</v>
      </c>
      <c r="Y228">
        <v>14711733.289999999</v>
      </c>
      <c r="Z228">
        <v>13381657.050000001</v>
      </c>
      <c r="AA228">
        <v>547626</v>
      </c>
      <c r="AB228">
        <v>0</v>
      </c>
      <c r="AC228">
        <v>4381765.2</v>
      </c>
      <c r="AD228">
        <v>13711112.82</v>
      </c>
      <c r="AE228">
        <v>14090491.970000001</v>
      </c>
      <c r="AF228">
        <v>562988</v>
      </c>
      <c r="AZ228">
        <v>4890</v>
      </c>
      <c r="BA228" t="s">
        <v>422</v>
      </c>
      <c r="BB228">
        <v>9930296.3300000001</v>
      </c>
      <c r="BC228">
        <v>10214938.789999999</v>
      </c>
      <c r="BD228">
        <v>351173</v>
      </c>
      <c r="BG228">
        <v>4890</v>
      </c>
      <c r="BH228" t="s">
        <v>422</v>
      </c>
      <c r="BI228">
        <v>22707.96</v>
      </c>
      <c r="BJ228">
        <v>917170.17</v>
      </c>
    </row>
    <row r="229" spans="1:62" x14ac:dyDescent="0.25">
      <c r="A229">
        <v>4878</v>
      </c>
      <c r="B229" t="s">
        <v>421</v>
      </c>
      <c r="C229">
        <v>0</v>
      </c>
      <c r="D229">
        <v>-152316.16</v>
      </c>
      <c r="E229">
        <v>6936901.6200000001</v>
      </c>
      <c r="F229">
        <v>7106715.6599999983</v>
      </c>
      <c r="G229">
        <v>239624</v>
      </c>
      <c r="H229">
        <v>0</v>
      </c>
      <c r="I229">
        <v>-170154.61</v>
      </c>
      <c r="J229">
        <v>7142318.2699999996</v>
      </c>
      <c r="K229">
        <v>7073109.0699999994</v>
      </c>
      <c r="L229">
        <v>261003</v>
      </c>
      <c r="M229">
        <v>6429</v>
      </c>
      <c r="N229">
        <v>444773.19</v>
      </c>
      <c r="O229">
        <v>7743674.3399999999</v>
      </c>
      <c r="P229">
        <v>6968337.7100000009</v>
      </c>
      <c r="Q229">
        <v>271535</v>
      </c>
      <c r="R229">
        <v>7611.7</v>
      </c>
      <c r="S229">
        <v>1249291.83</v>
      </c>
      <c r="T229">
        <v>7976048.9500000002</v>
      </c>
      <c r="U229">
        <v>7064483.5799999991</v>
      </c>
      <c r="V229">
        <v>242102</v>
      </c>
      <c r="W229">
        <v>13237.93</v>
      </c>
      <c r="X229">
        <v>1595025.63</v>
      </c>
      <c r="Y229">
        <v>7441388.5700000003</v>
      </c>
      <c r="Z229">
        <v>6928568.7999999998</v>
      </c>
      <c r="AA229">
        <v>240882</v>
      </c>
      <c r="AB229">
        <v>13342.93</v>
      </c>
      <c r="AC229">
        <v>1797198.63</v>
      </c>
      <c r="AD229">
        <v>6779401.7000000002</v>
      </c>
      <c r="AE229">
        <v>6735552.3299999991</v>
      </c>
      <c r="AF229">
        <v>244452</v>
      </c>
      <c r="AZ229">
        <v>4905</v>
      </c>
      <c r="BA229" t="s">
        <v>423</v>
      </c>
      <c r="BB229">
        <v>2819202.54</v>
      </c>
      <c r="BC229">
        <v>2738016.6100000003</v>
      </c>
      <c r="BD229">
        <v>89989</v>
      </c>
      <c r="BG229">
        <v>4905</v>
      </c>
      <c r="BH229" t="s">
        <v>423</v>
      </c>
      <c r="BI229">
        <v>0</v>
      </c>
      <c r="BJ229">
        <v>-177568.49</v>
      </c>
    </row>
    <row r="230" spans="1:62" x14ac:dyDescent="0.25">
      <c r="A230">
        <v>4890</v>
      </c>
      <c r="B230" t="s">
        <v>422</v>
      </c>
      <c r="C230">
        <v>0</v>
      </c>
      <c r="D230">
        <v>1456802.79</v>
      </c>
      <c r="E230">
        <v>9101975.1300000008</v>
      </c>
      <c r="F230">
        <v>8960253.9799999986</v>
      </c>
      <c r="G230">
        <v>320746</v>
      </c>
      <c r="H230">
        <v>538.38</v>
      </c>
      <c r="I230">
        <v>1330745.45</v>
      </c>
      <c r="J230">
        <v>9137097.0600000005</v>
      </c>
      <c r="K230">
        <v>9087213.5200000014</v>
      </c>
      <c r="L230">
        <v>358743</v>
      </c>
      <c r="M230">
        <v>327.31</v>
      </c>
      <c r="N230">
        <v>1290662.04</v>
      </c>
      <c r="O230">
        <v>9508149.0800000001</v>
      </c>
      <c r="P230">
        <v>9507771.1800000016</v>
      </c>
      <c r="Q230">
        <v>372750</v>
      </c>
      <c r="R230">
        <v>19218.91</v>
      </c>
      <c r="S230">
        <v>1867590.34</v>
      </c>
      <c r="T230">
        <v>10187496.279999999</v>
      </c>
      <c r="U230">
        <v>9473841.1400000006</v>
      </c>
      <c r="V230">
        <v>334755</v>
      </c>
      <c r="W230">
        <v>11413.77</v>
      </c>
      <c r="X230">
        <v>1825661.28</v>
      </c>
      <c r="Y230">
        <v>9749139.4399999995</v>
      </c>
      <c r="Z230">
        <v>9815531.5500000007</v>
      </c>
      <c r="AA230">
        <v>351173</v>
      </c>
      <c r="AB230">
        <v>14934.29</v>
      </c>
      <c r="AC230">
        <v>1496033.36</v>
      </c>
      <c r="AD230">
        <v>9930296.3300000001</v>
      </c>
      <c r="AE230">
        <v>10214938.789999999</v>
      </c>
      <c r="AF230">
        <v>390437</v>
      </c>
      <c r="AZ230">
        <v>4978</v>
      </c>
      <c r="BA230" t="s">
        <v>424</v>
      </c>
      <c r="BB230">
        <v>2275659.96</v>
      </c>
      <c r="BC230">
        <v>2838385.39</v>
      </c>
      <c r="BD230">
        <v>84102</v>
      </c>
      <c r="BG230">
        <v>4978</v>
      </c>
      <c r="BH230" t="s">
        <v>424</v>
      </c>
      <c r="BI230">
        <v>0</v>
      </c>
      <c r="BJ230">
        <v>-68391.33</v>
      </c>
    </row>
    <row r="231" spans="1:62" x14ac:dyDescent="0.25">
      <c r="A231">
        <v>4905</v>
      </c>
      <c r="B231" t="s">
        <v>423</v>
      </c>
      <c r="C231">
        <v>0</v>
      </c>
      <c r="D231">
        <v>145858.14000000001</v>
      </c>
      <c r="E231">
        <v>2757061.74</v>
      </c>
      <c r="F231">
        <v>2881705.35</v>
      </c>
      <c r="G231">
        <v>97205</v>
      </c>
      <c r="H231">
        <v>0</v>
      </c>
      <c r="I231">
        <v>-151626.78</v>
      </c>
      <c r="J231">
        <v>2566747.98</v>
      </c>
      <c r="K231">
        <v>2854513.72</v>
      </c>
      <c r="L231">
        <v>100743</v>
      </c>
      <c r="M231">
        <v>0</v>
      </c>
      <c r="N231">
        <v>-323816.84999999998</v>
      </c>
      <c r="O231">
        <v>2824771.1</v>
      </c>
      <c r="P231">
        <v>2962550.1500000004</v>
      </c>
      <c r="Q231">
        <v>101975</v>
      </c>
      <c r="R231">
        <v>0</v>
      </c>
      <c r="S231">
        <v>-287895.15000000002</v>
      </c>
      <c r="T231">
        <v>2910467.77</v>
      </c>
      <c r="U231">
        <v>2827499.44</v>
      </c>
      <c r="V231">
        <v>91170</v>
      </c>
      <c r="W231">
        <v>0</v>
      </c>
      <c r="X231">
        <v>-191214.91</v>
      </c>
      <c r="Y231">
        <v>2711988.03</v>
      </c>
      <c r="Z231">
        <v>2565105.7000000002</v>
      </c>
      <c r="AA231">
        <v>89989</v>
      </c>
      <c r="AB231">
        <v>0</v>
      </c>
      <c r="AC231">
        <v>-194247.98</v>
      </c>
      <c r="AD231">
        <v>2819202.54</v>
      </c>
      <c r="AE231">
        <v>2738016.6100000003</v>
      </c>
      <c r="AF231">
        <v>95355</v>
      </c>
      <c r="AZ231">
        <v>4995</v>
      </c>
      <c r="BA231" t="s">
        <v>425</v>
      </c>
      <c r="BB231">
        <v>9090812.3200000003</v>
      </c>
      <c r="BC231">
        <v>9173186.0800000019</v>
      </c>
      <c r="BD231">
        <v>363732</v>
      </c>
      <c r="BG231">
        <v>4995</v>
      </c>
      <c r="BH231" t="s">
        <v>425</v>
      </c>
      <c r="BI231">
        <v>73855.600000000006</v>
      </c>
      <c r="BJ231">
        <v>2067614.97</v>
      </c>
    </row>
    <row r="232" spans="1:62" x14ac:dyDescent="0.25">
      <c r="A232">
        <v>4978</v>
      </c>
      <c r="B232" t="s">
        <v>424</v>
      </c>
      <c r="C232">
        <v>0</v>
      </c>
      <c r="D232">
        <v>703508.45</v>
      </c>
      <c r="E232">
        <v>2895099.44</v>
      </c>
      <c r="F232">
        <v>2552731.3400000003</v>
      </c>
      <c r="G232">
        <v>89981</v>
      </c>
      <c r="H232">
        <v>0</v>
      </c>
      <c r="I232">
        <v>1049613.72</v>
      </c>
      <c r="J232">
        <v>2706974.37</v>
      </c>
      <c r="K232">
        <v>2335756.15</v>
      </c>
      <c r="L232">
        <v>96192</v>
      </c>
      <c r="M232">
        <v>0</v>
      </c>
      <c r="N232">
        <v>43032.52</v>
      </c>
      <c r="O232">
        <v>2443754.7799999998</v>
      </c>
      <c r="P232">
        <v>2809977.2699999996</v>
      </c>
      <c r="Q232">
        <v>96852</v>
      </c>
      <c r="R232">
        <v>0</v>
      </c>
      <c r="S232">
        <v>792912.8</v>
      </c>
      <c r="T232">
        <v>2764214.66</v>
      </c>
      <c r="U232">
        <v>2665869.1599999997</v>
      </c>
      <c r="V232">
        <v>83986</v>
      </c>
      <c r="W232">
        <v>0</v>
      </c>
      <c r="X232">
        <v>788995.21</v>
      </c>
      <c r="Y232">
        <v>2627078.86</v>
      </c>
      <c r="Z232">
        <v>2663726.02</v>
      </c>
      <c r="AA232">
        <v>84102</v>
      </c>
      <c r="AB232">
        <v>0</v>
      </c>
      <c r="AC232">
        <v>252076.13</v>
      </c>
      <c r="AD232">
        <v>2275659.96</v>
      </c>
      <c r="AE232">
        <v>2838385.39</v>
      </c>
      <c r="AF232">
        <v>86260</v>
      </c>
      <c r="AZ232">
        <v>5013</v>
      </c>
      <c r="BA232" t="s">
        <v>426</v>
      </c>
      <c r="BB232">
        <v>24073645.960000001</v>
      </c>
      <c r="BC232">
        <v>24277846.360000003</v>
      </c>
      <c r="BD232">
        <v>907800</v>
      </c>
      <c r="BG232">
        <v>5013</v>
      </c>
      <c r="BH232" t="s">
        <v>426</v>
      </c>
      <c r="BI232">
        <v>0</v>
      </c>
      <c r="BJ232">
        <v>1121092.67</v>
      </c>
    </row>
    <row r="233" spans="1:62" x14ac:dyDescent="0.25">
      <c r="A233">
        <v>4995</v>
      </c>
      <c r="B233" t="s">
        <v>425</v>
      </c>
      <c r="C233">
        <v>0</v>
      </c>
      <c r="D233">
        <v>-419181.74</v>
      </c>
      <c r="E233">
        <v>9023676.4499999993</v>
      </c>
      <c r="F233">
        <v>9215255.709999999</v>
      </c>
      <c r="G233">
        <v>355317</v>
      </c>
      <c r="H233">
        <v>0</v>
      </c>
      <c r="I233">
        <v>-644251.04</v>
      </c>
      <c r="J233">
        <v>8796573.8499999996</v>
      </c>
      <c r="K233">
        <v>8895584.6099999994</v>
      </c>
      <c r="L233">
        <v>411195</v>
      </c>
      <c r="M233">
        <v>0</v>
      </c>
      <c r="N233">
        <v>563533.48</v>
      </c>
      <c r="O233">
        <v>9443833.4700000007</v>
      </c>
      <c r="P233">
        <v>8120117.3900000006</v>
      </c>
      <c r="Q233">
        <v>412962</v>
      </c>
      <c r="R233">
        <v>0</v>
      </c>
      <c r="S233">
        <v>1714438.25</v>
      </c>
      <c r="T233">
        <v>9559164.5600000005</v>
      </c>
      <c r="U233">
        <v>8392465.2400000002</v>
      </c>
      <c r="V233">
        <v>374005</v>
      </c>
      <c r="W233">
        <v>0</v>
      </c>
      <c r="X233">
        <v>2596063.89</v>
      </c>
      <c r="Y233">
        <v>9492668.4000000004</v>
      </c>
      <c r="Z233">
        <v>8696179.3599999994</v>
      </c>
      <c r="AA233">
        <v>363732</v>
      </c>
      <c r="AB233">
        <v>74090.19</v>
      </c>
      <c r="AC233">
        <v>2436474.75</v>
      </c>
      <c r="AD233">
        <v>9090812.3200000003</v>
      </c>
      <c r="AE233">
        <v>9173186.0800000019</v>
      </c>
      <c r="AF233">
        <v>374813</v>
      </c>
      <c r="AZ233">
        <v>5049</v>
      </c>
      <c r="BA233" t="s">
        <v>427</v>
      </c>
      <c r="BB233">
        <v>44665397.68</v>
      </c>
      <c r="BC233">
        <v>44314837.949999996</v>
      </c>
      <c r="BD233">
        <v>1650357</v>
      </c>
      <c r="BG233">
        <v>5049</v>
      </c>
      <c r="BH233" t="s">
        <v>427</v>
      </c>
      <c r="BI233">
        <v>0</v>
      </c>
      <c r="BJ233">
        <v>6082025.4500000002</v>
      </c>
    </row>
    <row r="234" spans="1:62" x14ac:dyDescent="0.25">
      <c r="A234">
        <v>5013</v>
      </c>
      <c r="B234" t="s">
        <v>426</v>
      </c>
      <c r="C234">
        <v>0</v>
      </c>
      <c r="D234">
        <v>-564268.67000000004</v>
      </c>
      <c r="E234">
        <v>21996518.359999999</v>
      </c>
      <c r="F234">
        <v>21905223.700000003</v>
      </c>
      <c r="G234">
        <v>857815</v>
      </c>
      <c r="H234">
        <v>0</v>
      </c>
      <c r="I234">
        <v>-817628.47</v>
      </c>
      <c r="J234">
        <v>21774503.120000001</v>
      </c>
      <c r="K234">
        <v>22010609.849999998</v>
      </c>
      <c r="L234">
        <v>954301</v>
      </c>
      <c r="M234">
        <v>0</v>
      </c>
      <c r="N234">
        <v>313824.61</v>
      </c>
      <c r="O234">
        <v>24385409.620000001</v>
      </c>
      <c r="P234">
        <v>23293442.890000001</v>
      </c>
      <c r="Q234">
        <v>984199</v>
      </c>
      <c r="R234">
        <v>0</v>
      </c>
      <c r="S234">
        <v>1341065.81</v>
      </c>
      <c r="T234">
        <v>24551592.25</v>
      </c>
      <c r="U234">
        <v>23449260.609999999</v>
      </c>
      <c r="V234">
        <v>893027</v>
      </c>
      <c r="W234">
        <v>0</v>
      </c>
      <c r="X234">
        <v>1445709.38</v>
      </c>
      <c r="Y234">
        <v>23408493.379999999</v>
      </c>
      <c r="Z234">
        <v>23284214.289999999</v>
      </c>
      <c r="AA234">
        <v>907800</v>
      </c>
      <c r="AB234">
        <v>0</v>
      </c>
      <c r="AC234">
        <v>1179964.55</v>
      </c>
      <c r="AD234">
        <v>24073645.960000001</v>
      </c>
      <c r="AE234">
        <v>24277846.360000003</v>
      </c>
      <c r="AF234">
        <v>943672</v>
      </c>
      <c r="AZ234">
        <v>5121</v>
      </c>
      <c r="BA234" t="s">
        <v>429</v>
      </c>
      <c r="BB234">
        <v>7844500.8600000003</v>
      </c>
      <c r="BC234">
        <v>7361632.0099999998</v>
      </c>
      <c r="BD234">
        <v>273595</v>
      </c>
      <c r="BG234">
        <v>5121</v>
      </c>
      <c r="BH234" t="s">
        <v>429</v>
      </c>
      <c r="BI234">
        <v>0</v>
      </c>
      <c r="BJ234">
        <v>1647614.2</v>
      </c>
    </row>
    <row r="235" spans="1:62" x14ac:dyDescent="0.25">
      <c r="A235">
        <v>5049</v>
      </c>
      <c r="B235" t="s">
        <v>427</v>
      </c>
      <c r="C235">
        <v>50105.2</v>
      </c>
      <c r="D235">
        <v>2430712</v>
      </c>
      <c r="E235">
        <v>39789853.109999999</v>
      </c>
      <c r="F235">
        <v>38967766.870000005</v>
      </c>
      <c r="G235">
        <v>1586078</v>
      </c>
      <c r="H235">
        <v>50105.2</v>
      </c>
      <c r="I235">
        <v>2022087.21</v>
      </c>
      <c r="J235">
        <v>40317913.049999997</v>
      </c>
      <c r="K235">
        <v>40790571.82</v>
      </c>
      <c r="L235">
        <v>1769471</v>
      </c>
      <c r="M235">
        <v>0</v>
      </c>
      <c r="N235">
        <v>2893612</v>
      </c>
      <c r="O235">
        <v>43031981.119999997</v>
      </c>
      <c r="P235">
        <v>41903718.530000001</v>
      </c>
      <c r="Q235">
        <v>1822278</v>
      </c>
      <c r="R235">
        <v>0</v>
      </c>
      <c r="S235">
        <v>4692559.4000000004</v>
      </c>
      <c r="T235">
        <v>43032403.789999999</v>
      </c>
      <c r="U235">
        <v>41226532.890000001</v>
      </c>
      <c r="V235">
        <v>1647866</v>
      </c>
      <c r="W235">
        <v>0</v>
      </c>
      <c r="X235">
        <v>5276747.5199999996</v>
      </c>
      <c r="Y235">
        <v>42097598.609999999</v>
      </c>
      <c r="Z235">
        <v>41654165.340000004</v>
      </c>
      <c r="AA235">
        <v>1650357</v>
      </c>
      <c r="AB235">
        <v>0</v>
      </c>
      <c r="AC235">
        <v>5439897.4100000001</v>
      </c>
      <c r="AD235">
        <v>44665397.68</v>
      </c>
      <c r="AE235">
        <v>44314837.949999996</v>
      </c>
      <c r="AF235">
        <v>1740542</v>
      </c>
      <c r="AZ235">
        <v>5139</v>
      </c>
      <c r="BA235" t="s">
        <v>430</v>
      </c>
      <c r="BB235">
        <v>2187617.36</v>
      </c>
      <c r="BC235">
        <v>2373157.7700000005</v>
      </c>
      <c r="BD235">
        <v>74070</v>
      </c>
      <c r="BG235">
        <v>5139</v>
      </c>
      <c r="BH235" t="s">
        <v>430</v>
      </c>
      <c r="BI235">
        <v>0</v>
      </c>
      <c r="BJ235">
        <v>405398.98</v>
      </c>
    </row>
    <row r="236" spans="1:62" x14ac:dyDescent="0.25">
      <c r="A236">
        <v>5160</v>
      </c>
      <c r="B236" t="s">
        <v>428</v>
      </c>
      <c r="C236">
        <v>0</v>
      </c>
      <c r="D236">
        <v>-252915.69</v>
      </c>
      <c r="E236">
        <v>8570449.5600000005</v>
      </c>
      <c r="F236">
        <v>8829054.7799999993</v>
      </c>
      <c r="G236">
        <v>345265</v>
      </c>
      <c r="H236">
        <v>0</v>
      </c>
      <c r="I236">
        <v>-250265.99</v>
      </c>
      <c r="J236">
        <v>9129858.0299999993</v>
      </c>
      <c r="K236">
        <v>9032216.620000001</v>
      </c>
      <c r="L236">
        <v>389352</v>
      </c>
      <c r="M236">
        <v>0</v>
      </c>
      <c r="N236">
        <v>641736.52</v>
      </c>
      <c r="O236">
        <v>10093012.710000001</v>
      </c>
      <c r="P236">
        <v>9269798.2699999996</v>
      </c>
      <c r="Q236">
        <v>401539</v>
      </c>
      <c r="R236">
        <v>0</v>
      </c>
      <c r="S236">
        <v>1470347.22</v>
      </c>
      <c r="T236">
        <v>10431303.689999999</v>
      </c>
      <c r="U236">
        <v>9688394.370000001</v>
      </c>
      <c r="V236">
        <v>372785</v>
      </c>
      <c r="W236">
        <v>44185.09</v>
      </c>
      <c r="X236">
        <v>2202752.08</v>
      </c>
      <c r="Y236">
        <v>10590784.050000001</v>
      </c>
      <c r="Z236">
        <v>9862718.1699999999</v>
      </c>
      <c r="AA236">
        <v>373165</v>
      </c>
      <c r="AB236">
        <v>118312.57</v>
      </c>
      <c r="AC236">
        <v>2206437.37</v>
      </c>
      <c r="AD236">
        <v>10803103.460000001</v>
      </c>
      <c r="AE236">
        <v>10607567.85</v>
      </c>
      <c r="AF236">
        <v>392962</v>
      </c>
      <c r="AZ236">
        <v>5319</v>
      </c>
      <c r="BA236" t="s">
        <v>614</v>
      </c>
      <c r="BB236">
        <v>10803103.460000001</v>
      </c>
      <c r="BC236">
        <v>10607567.85</v>
      </c>
      <c r="BD236">
        <v>373165</v>
      </c>
      <c r="BG236">
        <v>5319</v>
      </c>
      <c r="BH236" t="s">
        <v>614</v>
      </c>
      <c r="BI236">
        <v>139052.9</v>
      </c>
      <c r="BJ236">
        <v>1988815.8</v>
      </c>
    </row>
    <row r="237" spans="1:62" x14ac:dyDescent="0.25">
      <c r="A237">
        <v>5121</v>
      </c>
      <c r="B237" t="s">
        <v>429</v>
      </c>
      <c r="C237">
        <v>0</v>
      </c>
      <c r="D237">
        <v>-215721.64</v>
      </c>
      <c r="E237">
        <v>6934164.5099999998</v>
      </c>
      <c r="F237">
        <v>7307797.0199999996</v>
      </c>
      <c r="G237">
        <v>268002</v>
      </c>
      <c r="H237">
        <v>0</v>
      </c>
      <c r="I237">
        <v>-718527.32</v>
      </c>
      <c r="J237">
        <v>7119362</v>
      </c>
      <c r="K237">
        <v>7613164.9099999992</v>
      </c>
      <c r="L237">
        <v>303043</v>
      </c>
      <c r="M237">
        <v>0</v>
      </c>
      <c r="N237">
        <v>72281.929999999993</v>
      </c>
      <c r="O237">
        <v>7919814.54</v>
      </c>
      <c r="P237">
        <v>7097432.4299999997</v>
      </c>
      <c r="Q237">
        <v>304077</v>
      </c>
      <c r="R237">
        <v>0</v>
      </c>
      <c r="S237">
        <v>842786.28</v>
      </c>
      <c r="T237">
        <v>8073171.4800000004</v>
      </c>
      <c r="U237">
        <v>7277237.2999999998</v>
      </c>
      <c r="V237">
        <v>276362</v>
      </c>
      <c r="W237">
        <v>0</v>
      </c>
      <c r="X237">
        <v>1295498.3600000001</v>
      </c>
      <c r="Y237">
        <v>7678681.7300000004</v>
      </c>
      <c r="Z237">
        <v>7215446.3399999999</v>
      </c>
      <c r="AA237">
        <v>273595</v>
      </c>
      <c r="AB237">
        <v>0</v>
      </c>
      <c r="AC237">
        <v>1800741.4</v>
      </c>
      <c r="AD237">
        <v>7844500.8600000003</v>
      </c>
      <c r="AE237">
        <v>7361632.0099999998</v>
      </c>
      <c r="AF237">
        <v>284332</v>
      </c>
      <c r="AZ237">
        <v>5163</v>
      </c>
      <c r="BA237" t="s">
        <v>431</v>
      </c>
      <c r="BB237">
        <v>6235366.9800000004</v>
      </c>
      <c r="BC237">
        <v>6828628.0099999998</v>
      </c>
      <c r="BD237">
        <v>246971</v>
      </c>
      <c r="BG237">
        <v>5163</v>
      </c>
      <c r="BH237" t="s">
        <v>431</v>
      </c>
      <c r="BI237">
        <v>0</v>
      </c>
      <c r="BJ237">
        <v>1366440.24</v>
      </c>
    </row>
    <row r="238" spans="1:62" x14ac:dyDescent="0.25">
      <c r="A238">
        <v>5139</v>
      </c>
      <c r="B238" t="s">
        <v>430</v>
      </c>
      <c r="C238">
        <v>0</v>
      </c>
      <c r="D238">
        <v>643318.09</v>
      </c>
      <c r="E238">
        <v>2080503.5</v>
      </c>
      <c r="F238">
        <v>1984225.82</v>
      </c>
      <c r="G238">
        <v>75406</v>
      </c>
      <c r="H238">
        <v>0</v>
      </c>
      <c r="I238">
        <v>579528.67000000004</v>
      </c>
      <c r="J238">
        <v>2072304.41</v>
      </c>
      <c r="K238">
        <v>2136093.83</v>
      </c>
      <c r="L238">
        <v>81087</v>
      </c>
      <c r="M238">
        <v>0</v>
      </c>
      <c r="N238">
        <v>616255.74</v>
      </c>
      <c r="O238">
        <v>2193216.75</v>
      </c>
      <c r="P238">
        <v>2156489.6799999997</v>
      </c>
      <c r="Q238">
        <v>83051</v>
      </c>
      <c r="R238">
        <v>0</v>
      </c>
      <c r="S238">
        <v>658646.5</v>
      </c>
      <c r="T238">
        <v>2344198.9</v>
      </c>
      <c r="U238">
        <v>2301808.14</v>
      </c>
      <c r="V238">
        <v>73438</v>
      </c>
      <c r="W238">
        <v>0</v>
      </c>
      <c r="X238">
        <v>503644.04</v>
      </c>
      <c r="Y238">
        <v>2124056.7799999998</v>
      </c>
      <c r="Z238">
        <v>2279059.2400000002</v>
      </c>
      <c r="AA238">
        <v>74070</v>
      </c>
      <c r="AB238">
        <v>0</v>
      </c>
      <c r="AC238">
        <v>316559.67</v>
      </c>
      <c r="AD238">
        <v>2187617.36</v>
      </c>
      <c r="AE238">
        <v>2373157.7700000005</v>
      </c>
      <c r="AF238">
        <v>76297</v>
      </c>
      <c r="AZ238">
        <v>5166</v>
      </c>
      <c r="BA238" t="s">
        <v>432</v>
      </c>
      <c r="BB238">
        <v>21540437.260000002</v>
      </c>
      <c r="BC238">
        <v>21940897.930000003</v>
      </c>
      <c r="BD238">
        <v>832321</v>
      </c>
      <c r="BG238">
        <v>5166</v>
      </c>
      <c r="BH238" t="s">
        <v>432</v>
      </c>
      <c r="BI238">
        <v>0</v>
      </c>
      <c r="BJ238">
        <v>2294077.2400000002</v>
      </c>
    </row>
    <row r="239" spans="1:62" x14ac:dyDescent="0.25">
      <c r="A239">
        <v>5163</v>
      </c>
      <c r="B239" t="s">
        <v>431</v>
      </c>
      <c r="C239">
        <v>0</v>
      </c>
      <c r="D239">
        <v>700238.04</v>
      </c>
      <c r="E239">
        <v>6843101.2800000003</v>
      </c>
      <c r="F239">
        <v>6573751.8500000006</v>
      </c>
      <c r="G239">
        <v>247428</v>
      </c>
      <c r="H239">
        <v>0</v>
      </c>
      <c r="I239">
        <v>805739.42</v>
      </c>
      <c r="J239">
        <v>6968554.4800000004</v>
      </c>
      <c r="K239">
        <v>6700604.6399999997</v>
      </c>
      <c r="L239">
        <v>278015</v>
      </c>
      <c r="M239">
        <v>0</v>
      </c>
      <c r="N239">
        <v>1760409.45</v>
      </c>
      <c r="O239">
        <v>7477870.6399999997</v>
      </c>
      <c r="P239">
        <v>6385234.4300000006</v>
      </c>
      <c r="Q239">
        <v>277917</v>
      </c>
      <c r="R239">
        <v>0</v>
      </c>
      <c r="S239">
        <v>2453858.54</v>
      </c>
      <c r="T239">
        <v>7280716.6399999997</v>
      </c>
      <c r="U239">
        <v>6492642.4900000002</v>
      </c>
      <c r="V239">
        <v>247288</v>
      </c>
      <c r="W239">
        <v>0</v>
      </c>
      <c r="X239">
        <v>2273838.0800000001</v>
      </c>
      <c r="Y239">
        <v>6050711.3499999996</v>
      </c>
      <c r="Z239">
        <v>6259675.2999999998</v>
      </c>
      <c r="AA239">
        <v>246971</v>
      </c>
      <c r="AB239">
        <v>0</v>
      </c>
      <c r="AC239">
        <v>1705737.22</v>
      </c>
      <c r="AD239">
        <v>6235366.9800000004</v>
      </c>
      <c r="AE239">
        <v>6828628.0099999998</v>
      </c>
      <c r="AF239">
        <v>254396</v>
      </c>
      <c r="AZ239">
        <v>5184</v>
      </c>
      <c r="BA239" t="s">
        <v>433</v>
      </c>
      <c r="BB239">
        <v>18722406.870000001</v>
      </c>
      <c r="BC239">
        <v>19566450.120000001</v>
      </c>
      <c r="BD239">
        <v>670432</v>
      </c>
      <c r="BG239">
        <v>5184</v>
      </c>
      <c r="BH239" t="s">
        <v>433</v>
      </c>
      <c r="BI239">
        <v>21155</v>
      </c>
      <c r="BJ239">
        <v>3667354.79</v>
      </c>
    </row>
    <row r="240" spans="1:62" x14ac:dyDescent="0.25">
      <c r="A240">
        <v>5166</v>
      </c>
      <c r="B240" t="s">
        <v>432</v>
      </c>
      <c r="C240">
        <v>200000</v>
      </c>
      <c r="D240">
        <v>1683868.96</v>
      </c>
      <c r="E240">
        <v>18187978.48</v>
      </c>
      <c r="F240">
        <v>17634751.510000002</v>
      </c>
      <c r="G240">
        <v>781173</v>
      </c>
      <c r="H240">
        <v>150000</v>
      </c>
      <c r="I240">
        <v>883598.18</v>
      </c>
      <c r="J240">
        <v>17665826.780000001</v>
      </c>
      <c r="K240">
        <v>18343582.900000002</v>
      </c>
      <c r="L240">
        <v>856878</v>
      </c>
      <c r="M240">
        <v>0</v>
      </c>
      <c r="N240">
        <v>1762310.17</v>
      </c>
      <c r="O240">
        <v>19796338.940000001</v>
      </c>
      <c r="P240">
        <v>18960037.899999999</v>
      </c>
      <c r="Q240">
        <v>887814</v>
      </c>
      <c r="R240">
        <v>0</v>
      </c>
      <c r="S240">
        <v>2481174.52</v>
      </c>
      <c r="T240">
        <v>20615493.68</v>
      </c>
      <c r="U240">
        <v>19798199.260000002</v>
      </c>
      <c r="V240">
        <v>818473</v>
      </c>
      <c r="W240">
        <v>0</v>
      </c>
      <c r="X240">
        <v>2579484.29</v>
      </c>
      <c r="Y240">
        <v>20735573.98</v>
      </c>
      <c r="Z240">
        <v>20626683.66</v>
      </c>
      <c r="AA240">
        <v>832321</v>
      </c>
      <c r="AB240">
        <v>0</v>
      </c>
      <c r="AC240">
        <v>2228837.9300000002</v>
      </c>
      <c r="AD240">
        <v>21540437.260000002</v>
      </c>
      <c r="AE240">
        <v>21940897.930000003</v>
      </c>
      <c r="AF240">
        <v>868667</v>
      </c>
      <c r="AZ240">
        <v>5250</v>
      </c>
      <c r="BA240" t="s">
        <v>434</v>
      </c>
      <c r="BB240">
        <v>40679400.490000002</v>
      </c>
      <c r="BC240">
        <v>39900127.689999998</v>
      </c>
      <c r="BD240">
        <v>1476199</v>
      </c>
      <c r="BG240">
        <v>5250</v>
      </c>
      <c r="BH240" t="s">
        <v>434</v>
      </c>
      <c r="BI240">
        <v>1854244.04</v>
      </c>
      <c r="BJ240">
        <v>3168686.7</v>
      </c>
    </row>
    <row r="241" spans="1:62" x14ac:dyDescent="0.25">
      <c r="A241">
        <v>5184</v>
      </c>
      <c r="B241" t="s">
        <v>433</v>
      </c>
      <c r="C241">
        <v>3000</v>
      </c>
      <c r="D241">
        <v>641183.56999999995</v>
      </c>
      <c r="E241">
        <v>17770599.010000002</v>
      </c>
      <c r="F241">
        <v>17505690.900000002</v>
      </c>
      <c r="G241">
        <v>639626</v>
      </c>
      <c r="H241">
        <v>5995</v>
      </c>
      <c r="I241">
        <v>823910.73</v>
      </c>
      <c r="J241">
        <v>17405563.210000001</v>
      </c>
      <c r="K241">
        <v>16864863.359999999</v>
      </c>
      <c r="L241">
        <v>697687</v>
      </c>
      <c r="M241">
        <v>5995</v>
      </c>
      <c r="N241">
        <v>3379827.82</v>
      </c>
      <c r="O241">
        <v>19060977.02</v>
      </c>
      <c r="P241">
        <v>16325082.109999999</v>
      </c>
      <c r="Q241">
        <v>729595</v>
      </c>
      <c r="R241">
        <v>15995</v>
      </c>
      <c r="S241">
        <v>5493263.7800000003</v>
      </c>
      <c r="T241">
        <v>19282906.289999999</v>
      </c>
      <c r="U241">
        <v>17058478.659999996</v>
      </c>
      <c r="V241">
        <v>663147</v>
      </c>
      <c r="W241">
        <v>20495</v>
      </c>
      <c r="X241">
        <v>5730329.7400000002</v>
      </c>
      <c r="Y241">
        <v>17749434.030000001</v>
      </c>
      <c r="Z241">
        <v>17504031.789999999</v>
      </c>
      <c r="AA241">
        <v>670432</v>
      </c>
      <c r="AB241">
        <v>22245</v>
      </c>
      <c r="AC241">
        <v>4924348.72</v>
      </c>
      <c r="AD241">
        <v>18722406.870000001</v>
      </c>
      <c r="AE241">
        <v>19566450.120000001</v>
      </c>
      <c r="AF241">
        <v>712699</v>
      </c>
      <c r="AZ241">
        <v>5256</v>
      </c>
      <c r="BA241" t="s">
        <v>435</v>
      </c>
      <c r="BB241">
        <v>6644112.3499999996</v>
      </c>
      <c r="BC241">
        <v>7260444.7500000009</v>
      </c>
      <c r="BD241">
        <v>227752</v>
      </c>
      <c r="BG241">
        <v>5256</v>
      </c>
      <c r="BH241" t="s">
        <v>435</v>
      </c>
      <c r="BI241">
        <v>0</v>
      </c>
      <c r="BJ241">
        <v>147626.10999999999</v>
      </c>
    </row>
    <row r="242" spans="1:62" x14ac:dyDescent="0.25">
      <c r="A242">
        <v>5250</v>
      </c>
      <c r="B242" t="s">
        <v>434</v>
      </c>
      <c r="C242">
        <v>0</v>
      </c>
      <c r="D242">
        <v>1321970.47</v>
      </c>
      <c r="E242">
        <v>30564710.93</v>
      </c>
      <c r="F242">
        <v>30436279.079999998</v>
      </c>
      <c r="G242">
        <v>1213051</v>
      </c>
      <c r="H242">
        <v>0</v>
      </c>
      <c r="I242">
        <v>1142192.75</v>
      </c>
      <c r="J242">
        <v>31170728.190000001</v>
      </c>
      <c r="K242">
        <v>31261591.610000003</v>
      </c>
      <c r="L242">
        <v>1378910</v>
      </c>
      <c r="M242">
        <v>1076176.94</v>
      </c>
      <c r="N242">
        <v>931821.95</v>
      </c>
      <c r="O242">
        <v>33260732.109999999</v>
      </c>
      <c r="P242">
        <v>32281562.609999996</v>
      </c>
      <c r="Q242">
        <v>1426627</v>
      </c>
      <c r="R242">
        <v>1084956.77</v>
      </c>
      <c r="S242">
        <v>1765156.25</v>
      </c>
      <c r="T242">
        <v>35813911.210000001</v>
      </c>
      <c r="U242">
        <v>34974436.93</v>
      </c>
      <c r="V242">
        <v>1380061</v>
      </c>
      <c r="W242">
        <v>1537284.66</v>
      </c>
      <c r="X242">
        <v>1921227.45</v>
      </c>
      <c r="Y242">
        <v>37061935.090000004</v>
      </c>
      <c r="Z242">
        <v>36449116.790000007</v>
      </c>
      <c r="AA242">
        <v>1476199</v>
      </c>
      <c r="AB242">
        <v>1841702.74</v>
      </c>
      <c r="AC242">
        <v>2388493.35</v>
      </c>
      <c r="AD242">
        <v>40679400.490000002</v>
      </c>
      <c r="AE242">
        <v>39900127.689999998</v>
      </c>
      <c r="AF242">
        <v>1638338</v>
      </c>
      <c r="AZ242">
        <v>5283</v>
      </c>
      <c r="BA242" t="s">
        <v>613</v>
      </c>
      <c r="BB242">
        <v>7660631.0300000003</v>
      </c>
      <c r="BC242">
        <v>8307869.3200000003</v>
      </c>
      <c r="BD242">
        <v>313255</v>
      </c>
      <c r="BG242">
        <v>5283</v>
      </c>
      <c r="BH242" t="s">
        <v>613</v>
      </c>
      <c r="BI242">
        <v>0</v>
      </c>
      <c r="BJ242">
        <v>2053860.91</v>
      </c>
    </row>
    <row r="243" spans="1:62" x14ac:dyDescent="0.25">
      <c r="A243">
        <v>5256</v>
      </c>
      <c r="B243" t="s">
        <v>435</v>
      </c>
      <c r="C243">
        <v>0</v>
      </c>
      <c r="D243">
        <v>1188032.31</v>
      </c>
      <c r="E243">
        <v>6306057.3799999999</v>
      </c>
      <c r="F243">
        <v>5748696.459999999</v>
      </c>
      <c r="G243">
        <v>232544</v>
      </c>
      <c r="H243">
        <v>0</v>
      </c>
      <c r="I243">
        <v>1449031.86</v>
      </c>
      <c r="J243">
        <v>6203431.8499999996</v>
      </c>
      <c r="K243">
        <v>5942432.3000000007</v>
      </c>
      <c r="L243">
        <v>253457</v>
      </c>
      <c r="M243">
        <v>0</v>
      </c>
      <c r="N243">
        <v>1401454.39</v>
      </c>
      <c r="O243">
        <v>6481744.7300000004</v>
      </c>
      <c r="P243">
        <v>6529322.2000000002</v>
      </c>
      <c r="Q243">
        <v>253163</v>
      </c>
      <c r="R243">
        <v>0</v>
      </c>
      <c r="S243">
        <v>1590458.37</v>
      </c>
      <c r="T243">
        <v>6466143.6799999997</v>
      </c>
      <c r="U243">
        <v>6277139.7000000002</v>
      </c>
      <c r="V243">
        <v>227773</v>
      </c>
      <c r="W243">
        <v>0</v>
      </c>
      <c r="X243">
        <v>1016469.63</v>
      </c>
      <c r="Y243">
        <v>6279588.04</v>
      </c>
      <c r="Z243">
        <v>6853576.7800000012</v>
      </c>
      <c r="AA243">
        <v>227752</v>
      </c>
      <c r="AB243">
        <v>0</v>
      </c>
      <c r="AC243">
        <v>392776.93</v>
      </c>
      <c r="AD243">
        <v>6644112.3499999996</v>
      </c>
      <c r="AE243">
        <v>7260444.7500000009</v>
      </c>
      <c r="AF243">
        <v>239417</v>
      </c>
      <c r="AZ243">
        <v>5310</v>
      </c>
      <c r="BA243" t="s">
        <v>437</v>
      </c>
      <c r="BB243">
        <v>7119902.5599999996</v>
      </c>
      <c r="BC243">
        <v>6426042.5300000012</v>
      </c>
      <c r="BD243">
        <v>228603</v>
      </c>
      <c r="BG243">
        <v>5310</v>
      </c>
      <c r="BH243" t="s">
        <v>437</v>
      </c>
      <c r="BI243">
        <v>0</v>
      </c>
      <c r="BJ243">
        <v>1667190.26</v>
      </c>
    </row>
    <row r="244" spans="1:62" x14ac:dyDescent="0.25">
      <c r="A244">
        <v>5283</v>
      </c>
      <c r="B244" t="s">
        <v>436</v>
      </c>
      <c r="C244">
        <v>0</v>
      </c>
      <c r="D244">
        <v>804462.05</v>
      </c>
      <c r="E244">
        <v>5708118.7999999998</v>
      </c>
      <c r="F244">
        <v>6042937.1100000013</v>
      </c>
      <c r="G244">
        <v>234021</v>
      </c>
      <c r="H244">
        <v>0</v>
      </c>
      <c r="I244">
        <v>716677.1</v>
      </c>
      <c r="J244">
        <v>5945924.2000000002</v>
      </c>
      <c r="K244">
        <v>6013977.5</v>
      </c>
      <c r="L244">
        <v>249853</v>
      </c>
      <c r="M244">
        <v>0</v>
      </c>
      <c r="N244">
        <v>1131522.6299999999</v>
      </c>
      <c r="O244">
        <v>6516549.0099999998</v>
      </c>
      <c r="P244">
        <v>6097365.6300000008</v>
      </c>
      <c r="Q244">
        <v>247984</v>
      </c>
      <c r="R244">
        <v>0</v>
      </c>
      <c r="S244">
        <v>1371469.45</v>
      </c>
      <c r="T244">
        <v>6547636.6699999999</v>
      </c>
      <c r="U244">
        <v>6310763.8000000007</v>
      </c>
      <c r="V244">
        <v>219196</v>
      </c>
      <c r="W244">
        <v>0</v>
      </c>
      <c r="X244">
        <v>2990980.38</v>
      </c>
      <c r="Y244">
        <v>8411268.7400000002</v>
      </c>
      <c r="Z244">
        <v>7923650.8500000015</v>
      </c>
      <c r="AA244">
        <v>313255</v>
      </c>
      <c r="AB244">
        <v>0</v>
      </c>
      <c r="AC244">
        <v>2358368.2799999998</v>
      </c>
      <c r="AD244">
        <v>7660631.0300000003</v>
      </c>
      <c r="AE244">
        <v>8307869.3200000003</v>
      </c>
      <c r="AF244">
        <v>325509</v>
      </c>
      <c r="AZ244">
        <v>5323</v>
      </c>
      <c r="BA244" t="s">
        <v>438</v>
      </c>
      <c r="BB244">
        <v>7024506.6699999999</v>
      </c>
      <c r="BC244">
        <v>6653812.2400000002</v>
      </c>
      <c r="BD244">
        <v>251097</v>
      </c>
      <c r="BG244">
        <v>5323</v>
      </c>
      <c r="BH244" t="s">
        <v>438</v>
      </c>
      <c r="BI244">
        <v>0</v>
      </c>
      <c r="BJ244">
        <v>2108491.2400000002</v>
      </c>
    </row>
    <row r="245" spans="1:62" x14ac:dyDescent="0.25">
      <c r="A245">
        <v>5310</v>
      </c>
      <c r="B245" t="s">
        <v>437</v>
      </c>
      <c r="C245">
        <v>0</v>
      </c>
      <c r="D245">
        <v>93789.41</v>
      </c>
      <c r="E245">
        <v>5495649.04</v>
      </c>
      <c r="F245">
        <v>5599199.8600000003</v>
      </c>
      <c r="G245">
        <v>236277</v>
      </c>
      <c r="H245">
        <v>0</v>
      </c>
      <c r="I245">
        <v>-391719.73</v>
      </c>
      <c r="J245">
        <v>5713013.6299999999</v>
      </c>
      <c r="K245">
        <v>5880757.3499999996</v>
      </c>
      <c r="L245">
        <v>252467</v>
      </c>
      <c r="M245">
        <v>0</v>
      </c>
      <c r="N245">
        <v>-549571.13</v>
      </c>
      <c r="O245">
        <v>6193612.8499999996</v>
      </c>
      <c r="P245">
        <v>6116683.8199999994</v>
      </c>
      <c r="Q245">
        <v>253008</v>
      </c>
      <c r="R245">
        <v>0</v>
      </c>
      <c r="S245">
        <v>15108.62</v>
      </c>
      <c r="T245">
        <v>6387961.4100000001</v>
      </c>
      <c r="U245">
        <v>5913190.0199999996</v>
      </c>
      <c r="V245">
        <v>228360</v>
      </c>
      <c r="W245">
        <v>0</v>
      </c>
      <c r="X245">
        <v>394489.78</v>
      </c>
      <c r="Y245">
        <v>6372986.1200000001</v>
      </c>
      <c r="Z245">
        <v>5993556.3500000006</v>
      </c>
      <c r="AA245">
        <v>228603</v>
      </c>
      <c r="AB245">
        <v>0</v>
      </c>
      <c r="AC245">
        <v>1060248.1499999999</v>
      </c>
      <c r="AD245">
        <v>7119902.5599999996</v>
      </c>
      <c r="AE245">
        <v>6426042.5300000012</v>
      </c>
      <c r="AF245">
        <v>247673</v>
      </c>
      <c r="AZ245">
        <v>5463</v>
      </c>
      <c r="BA245" t="s">
        <v>440</v>
      </c>
      <c r="BB245">
        <v>13425765.17</v>
      </c>
      <c r="BC245">
        <v>13108173.430000002</v>
      </c>
      <c r="BD245">
        <v>470998</v>
      </c>
      <c r="BG245">
        <v>5463</v>
      </c>
      <c r="BH245" t="s">
        <v>440</v>
      </c>
      <c r="BI245">
        <v>148407.93</v>
      </c>
      <c r="BJ245">
        <v>2337141.77</v>
      </c>
    </row>
    <row r="246" spans="1:62" x14ac:dyDescent="0.25">
      <c r="A246">
        <v>5325</v>
      </c>
      <c r="B246" t="s">
        <v>438</v>
      </c>
      <c r="C246">
        <v>0</v>
      </c>
      <c r="D246">
        <v>-500006.57</v>
      </c>
      <c r="E246">
        <v>7069167.5300000003</v>
      </c>
      <c r="F246">
        <v>7066601.4800000004</v>
      </c>
      <c r="G246">
        <v>255106</v>
      </c>
      <c r="H246">
        <v>0</v>
      </c>
      <c r="I246">
        <v>-319377.78999999998</v>
      </c>
      <c r="J246">
        <v>7144472.0800000001</v>
      </c>
      <c r="K246">
        <v>7008148.6699999999</v>
      </c>
      <c r="L246">
        <v>277363</v>
      </c>
      <c r="M246">
        <v>0</v>
      </c>
      <c r="N246">
        <v>1140054.93</v>
      </c>
      <c r="O246">
        <v>8258149.1900000004</v>
      </c>
      <c r="P246">
        <v>6923740.2999999998</v>
      </c>
      <c r="Q246">
        <v>278373</v>
      </c>
      <c r="R246">
        <v>0</v>
      </c>
      <c r="S246">
        <v>1791906.92</v>
      </c>
      <c r="T246">
        <v>8586989.7400000002</v>
      </c>
      <c r="U246">
        <v>7937214.5599999996</v>
      </c>
      <c r="V246">
        <v>247033</v>
      </c>
      <c r="W246">
        <v>0</v>
      </c>
      <c r="X246">
        <v>1936937.55</v>
      </c>
      <c r="Y246">
        <v>6937916.3399999999</v>
      </c>
      <c r="Z246">
        <v>6797626.9299999997</v>
      </c>
      <c r="AA246">
        <v>251097</v>
      </c>
      <c r="AB246">
        <v>0</v>
      </c>
      <c r="AC246">
        <v>2255035.29</v>
      </c>
      <c r="AD246">
        <v>7024506.6699999999</v>
      </c>
      <c r="AE246">
        <v>6653812.2400000002</v>
      </c>
      <c r="AF246">
        <v>256895</v>
      </c>
      <c r="AZ246">
        <v>5486</v>
      </c>
      <c r="BA246" t="s">
        <v>441</v>
      </c>
      <c r="BB246">
        <v>4656728.8099999996</v>
      </c>
      <c r="BC246">
        <v>4525801.5500000007</v>
      </c>
      <c r="BD246">
        <v>172705</v>
      </c>
      <c r="BG246">
        <v>5486</v>
      </c>
      <c r="BH246" t="s">
        <v>441</v>
      </c>
      <c r="BI246">
        <v>0</v>
      </c>
      <c r="BJ246">
        <v>848506.4</v>
      </c>
    </row>
    <row r="247" spans="1:62" x14ac:dyDescent="0.25">
      <c r="A247">
        <v>5328</v>
      </c>
      <c r="B247" t="s">
        <v>439</v>
      </c>
      <c r="C247">
        <v>0</v>
      </c>
      <c r="D247">
        <v>137071.42000000001</v>
      </c>
      <c r="E247">
        <v>1176517.54</v>
      </c>
      <c r="F247">
        <v>1109860.8999999999</v>
      </c>
      <c r="G247">
        <v>36342</v>
      </c>
      <c r="H247">
        <v>0</v>
      </c>
      <c r="I247">
        <v>344150.5</v>
      </c>
      <c r="J247">
        <v>1166028.67</v>
      </c>
      <c r="K247">
        <v>965293.86</v>
      </c>
      <c r="L247">
        <v>40616</v>
      </c>
      <c r="M247">
        <v>0</v>
      </c>
      <c r="N247">
        <v>442859.73</v>
      </c>
      <c r="O247">
        <v>1149314.6399999999</v>
      </c>
      <c r="P247">
        <v>1050415.1200000001</v>
      </c>
      <c r="Q247">
        <v>39925</v>
      </c>
      <c r="R247">
        <v>0</v>
      </c>
      <c r="S247">
        <v>736741.19</v>
      </c>
      <c r="T247">
        <v>1099618.76</v>
      </c>
      <c r="U247">
        <v>805927.59</v>
      </c>
      <c r="V247">
        <v>35625</v>
      </c>
      <c r="W247">
        <v>0</v>
      </c>
      <c r="X247">
        <v>705565.78</v>
      </c>
      <c r="Y247">
        <v>953796.19</v>
      </c>
      <c r="Z247">
        <v>984246.34999999986</v>
      </c>
      <c r="AA247">
        <v>34997</v>
      </c>
      <c r="AB247">
        <v>0</v>
      </c>
      <c r="AC247">
        <v>413980.23</v>
      </c>
      <c r="AD247">
        <v>1058968.04</v>
      </c>
      <c r="AE247">
        <v>1320966.5700000003</v>
      </c>
      <c r="AF247">
        <v>36694</v>
      </c>
      <c r="AZ247">
        <v>5508</v>
      </c>
      <c r="BA247" t="s">
        <v>442</v>
      </c>
      <c r="BB247">
        <v>3276965.65</v>
      </c>
      <c r="BC247">
        <v>3028547.2800000003</v>
      </c>
      <c r="BD247">
        <v>123331</v>
      </c>
      <c r="BG247">
        <v>5508</v>
      </c>
      <c r="BH247" t="s">
        <v>442</v>
      </c>
      <c r="BI247">
        <v>0</v>
      </c>
      <c r="BJ247">
        <v>1121372.08</v>
      </c>
    </row>
    <row r="248" spans="1:62" x14ac:dyDescent="0.25">
      <c r="A248">
        <v>5463</v>
      </c>
      <c r="B248" t="s">
        <v>440</v>
      </c>
      <c r="C248">
        <v>0</v>
      </c>
      <c r="D248">
        <v>-564016.73</v>
      </c>
      <c r="E248">
        <v>11816813.67</v>
      </c>
      <c r="F248">
        <v>12614437.840000002</v>
      </c>
      <c r="G248">
        <v>482258</v>
      </c>
      <c r="H248">
        <v>0</v>
      </c>
      <c r="I248">
        <v>-645513.67000000004</v>
      </c>
      <c r="J248">
        <v>12495057.630000001</v>
      </c>
      <c r="K248">
        <v>12487151.98</v>
      </c>
      <c r="L248">
        <v>529094</v>
      </c>
      <c r="M248">
        <v>20385.060000000001</v>
      </c>
      <c r="N248">
        <v>763573.57</v>
      </c>
      <c r="O248">
        <v>13592545.539999999</v>
      </c>
      <c r="P248">
        <v>12125726.930000002</v>
      </c>
      <c r="Q248">
        <v>530993</v>
      </c>
      <c r="R248">
        <v>56404.42</v>
      </c>
      <c r="S248">
        <v>1800210.26</v>
      </c>
      <c r="T248">
        <v>13629256.42</v>
      </c>
      <c r="U248">
        <v>12576093.409999998</v>
      </c>
      <c r="V248">
        <v>469933</v>
      </c>
      <c r="W248">
        <v>112510.1</v>
      </c>
      <c r="X248">
        <v>2614201.41</v>
      </c>
      <c r="Y248">
        <v>13656054.59</v>
      </c>
      <c r="Z248">
        <v>12766190.540000001</v>
      </c>
      <c r="AA248">
        <v>470998</v>
      </c>
      <c r="AB248">
        <v>131269.41</v>
      </c>
      <c r="AC248">
        <v>2867672.37</v>
      </c>
      <c r="AD248">
        <v>13425765.17</v>
      </c>
      <c r="AE248">
        <v>13108173.430000002</v>
      </c>
      <c r="AF248">
        <v>486584</v>
      </c>
      <c r="AZ248">
        <v>1975</v>
      </c>
      <c r="BA248" t="s">
        <v>443</v>
      </c>
      <c r="BB248">
        <v>4733428.41</v>
      </c>
      <c r="BC248">
        <v>4596276.669999999</v>
      </c>
      <c r="BD248">
        <v>162412</v>
      </c>
      <c r="BG248">
        <v>1975</v>
      </c>
      <c r="BH248" t="s">
        <v>443</v>
      </c>
      <c r="BI248">
        <v>0</v>
      </c>
      <c r="BJ248">
        <v>782018.8</v>
      </c>
    </row>
    <row r="249" spans="1:62" x14ac:dyDescent="0.25">
      <c r="A249">
        <v>5486</v>
      </c>
      <c r="B249" t="s">
        <v>441</v>
      </c>
      <c r="C249">
        <v>0</v>
      </c>
      <c r="D249">
        <v>1149885.52</v>
      </c>
      <c r="E249">
        <v>3832010.21</v>
      </c>
      <c r="F249">
        <v>3999922.2399999998</v>
      </c>
      <c r="G249">
        <v>170950</v>
      </c>
      <c r="H249">
        <v>0</v>
      </c>
      <c r="I249">
        <v>743784.56</v>
      </c>
      <c r="J249">
        <v>3735100.41</v>
      </c>
      <c r="K249">
        <v>4105775.5000000005</v>
      </c>
      <c r="L249">
        <v>188929</v>
      </c>
      <c r="M249">
        <v>0</v>
      </c>
      <c r="N249">
        <v>430660.73</v>
      </c>
      <c r="O249">
        <v>3880722.1</v>
      </c>
      <c r="P249">
        <v>4200413.49</v>
      </c>
      <c r="Q249">
        <v>190139</v>
      </c>
      <c r="R249">
        <v>0</v>
      </c>
      <c r="S249">
        <v>362392.44</v>
      </c>
      <c r="T249">
        <v>4163773.52</v>
      </c>
      <c r="U249">
        <v>4258219.46</v>
      </c>
      <c r="V249">
        <v>171056</v>
      </c>
      <c r="W249">
        <v>0</v>
      </c>
      <c r="X249">
        <v>253743.86</v>
      </c>
      <c r="Y249">
        <v>4219367.05</v>
      </c>
      <c r="Z249">
        <v>4320674.9399999995</v>
      </c>
      <c r="AA249">
        <v>172705</v>
      </c>
      <c r="AB249">
        <v>0</v>
      </c>
      <c r="AC249">
        <v>389707.24</v>
      </c>
      <c r="AD249">
        <v>4656728.8099999996</v>
      </c>
      <c r="AE249">
        <v>4525801.5500000007</v>
      </c>
      <c r="AF249">
        <v>185423</v>
      </c>
      <c r="AZ249">
        <v>4824</v>
      </c>
      <c r="BA249" t="s">
        <v>444</v>
      </c>
      <c r="BB249">
        <v>7001511.54</v>
      </c>
      <c r="BC249">
        <v>7507582.5399999991</v>
      </c>
      <c r="BD249">
        <v>249922</v>
      </c>
      <c r="BG249">
        <v>4824</v>
      </c>
      <c r="BH249" t="s">
        <v>444</v>
      </c>
      <c r="BI249">
        <v>0</v>
      </c>
      <c r="BJ249">
        <v>245293.38</v>
      </c>
    </row>
    <row r="250" spans="1:62" x14ac:dyDescent="0.25">
      <c r="A250">
        <v>5508</v>
      </c>
      <c r="B250" t="s">
        <v>442</v>
      </c>
      <c r="C250">
        <v>0</v>
      </c>
      <c r="D250">
        <v>677486.61</v>
      </c>
      <c r="E250">
        <v>3819101.22</v>
      </c>
      <c r="F250">
        <v>3751798.14</v>
      </c>
      <c r="G250">
        <v>133475</v>
      </c>
      <c r="H250">
        <v>0</v>
      </c>
      <c r="I250">
        <v>813774.97</v>
      </c>
      <c r="J250">
        <v>3589383.47</v>
      </c>
      <c r="K250">
        <v>3403167.53</v>
      </c>
      <c r="L250">
        <v>140036</v>
      </c>
      <c r="M250">
        <v>0</v>
      </c>
      <c r="N250">
        <v>760252.9</v>
      </c>
      <c r="O250">
        <v>3535278.77</v>
      </c>
      <c r="P250">
        <v>3602513.11</v>
      </c>
      <c r="Q250">
        <v>140441</v>
      </c>
      <c r="R250">
        <v>0</v>
      </c>
      <c r="S250">
        <v>569924.62</v>
      </c>
      <c r="T250">
        <v>3425667.83</v>
      </c>
      <c r="U250">
        <v>3538582.0099999993</v>
      </c>
      <c r="V250">
        <v>122861</v>
      </c>
      <c r="W250">
        <v>0</v>
      </c>
      <c r="X250">
        <v>772107.85</v>
      </c>
      <c r="Y250">
        <v>3257243.5</v>
      </c>
      <c r="Z250">
        <v>3090515.4400000009</v>
      </c>
      <c r="AA250">
        <v>123331</v>
      </c>
      <c r="AB250">
        <v>0</v>
      </c>
      <c r="AC250">
        <v>1014107.46</v>
      </c>
      <c r="AD250">
        <v>3276965.65</v>
      </c>
      <c r="AE250">
        <v>3028547.2800000003</v>
      </c>
      <c r="AF250">
        <v>130915</v>
      </c>
      <c r="AZ250">
        <v>5607</v>
      </c>
      <c r="BA250" t="s">
        <v>445</v>
      </c>
      <c r="BB250">
        <v>7669852.4100000001</v>
      </c>
      <c r="BC250">
        <v>7308203.0700000003</v>
      </c>
      <c r="BD250">
        <v>293626</v>
      </c>
      <c r="BG250">
        <v>5607</v>
      </c>
      <c r="BH250" t="s">
        <v>445</v>
      </c>
      <c r="BI250">
        <v>0</v>
      </c>
      <c r="BJ250">
        <v>2767575.36</v>
      </c>
    </row>
    <row r="251" spans="1:62" x14ac:dyDescent="0.25">
      <c r="A251">
        <v>1975</v>
      </c>
      <c r="B251" t="s">
        <v>443</v>
      </c>
      <c r="C251">
        <v>0</v>
      </c>
      <c r="D251">
        <v>932702.55</v>
      </c>
      <c r="E251">
        <v>4050107.8</v>
      </c>
      <c r="F251">
        <v>4170945.8099999996</v>
      </c>
      <c r="G251">
        <v>161318</v>
      </c>
      <c r="H251">
        <v>0</v>
      </c>
      <c r="I251">
        <v>604185.64</v>
      </c>
      <c r="J251">
        <v>4154316.68</v>
      </c>
      <c r="K251">
        <v>4391816.4300000006</v>
      </c>
      <c r="L251">
        <v>183449</v>
      </c>
      <c r="M251">
        <v>0</v>
      </c>
      <c r="N251">
        <v>657807.27</v>
      </c>
      <c r="O251">
        <v>4631992.2699999996</v>
      </c>
      <c r="P251">
        <v>4532478.74</v>
      </c>
      <c r="Q251">
        <v>184215</v>
      </c>
      <c r="R251">
        <v>0</v>
      </c>
      <c r="S251">
        <v>598173.72</v>
      </c>
      <c r="T251">
        <v>4466223.66</v>
      </c>
      <c r="U251">
        <v>4514206.6100000003</v>
      </c>
      <c r="V251">
        <v>164059</v>
      </c>
      <c r="W251">
        <v>0</v>
      </c>
      <c r="X251">
        <v>684479.05</v>
      </c>
      <c r="Y251">
        <v>4532387.38</v>
      </c>
      <c r="Z251">
        <v>4371138.74</v>
      </c>
      <c r="AA251">
        <v>162412</v>
      </c>
      <c r="AB251">
        <v>0</v>
      </c>
      <c r="AC251">
        <v>816264.89</v>
      </c>
      <c r="AD251">
        <v>4733428.41</v>
      </c>
      <c r="AE251">
        <v>4596276.669999999</v>
      </c>
      <c r="AF251">
        <v>168691</v>
      </c>
      <c r="AZ251">
        <v>5643</v>
      </c>
      <c r="BA251" t="s">
        <v>446</v>
      </c>
      <c r="BB251">
        <v>9663106.2200000007</v>
      </c>
      <c r="BC251">
        <v>9487141.2500000019</v>
      </c>
      <c r="BD251">
        <v>334265</v>
      </c>
      <c r="BG251">
        <v>5643</v>
      </c>
      <c r="BH251" t="s">
        <v>446</v>
      </c>
      <c r="BI251">
        <v>0</v>
      </c>
      <c r="BJ251">
        <v>2058908.73</v>
      </c>
    </row>
    <row r="252" spans="1:62" x14ac:dyDescent="0.25">
      <c r="A252">
        <v>5510</v>
      </c>
      <c r="B252" t="s">
        <v>444</v>
      </c>
      <c r="C252">
        <v>0</v>
      </c>
      <c r="D252">
        <v>503116.6</v>
      </c>
      <c r="E252">
        <v>6361004.6799999997</v>
      </c>
      <c r="F252">
        <v>6048892.54</v>
      </c>
      <c r="G252">
        <v>236389</v>
      </c>
      <c r="H252">
        <v>0</v>
      </c>
      <c r="I252">
        <v>479061.8</v>
      </c>
      <c r="J252">
        <v>6196467.6200000001</v>
      </c>
      <c r="K252">
        <v>6025250.6999999993</v>
      </c>
      <c r="L252">
        <v>257342</v>
      </c>
      <c r="M252">
        <v>0</v>
      </c>
      <c r="N252">
        <v>740286.86</v>
      </c>
      <c r="O252">
        <v>6753566.7300000004</v>
      </c>
      <c r="P252">
        <v>6328214.3700000001</v>
      </c>
      <c r="Q252">
        <v>271411</v>
      </c>
      <c r="R252">
        <v>0</v>
      </c>
      <c r="S252">
        <v>927883.89</v>
      </c>
      <c r="T252">
        <v>6735183.8499999996</v>
      </c>
      <c r="U252">
        <v>6586331.3599999994</v>
      </c>
      <c r="V252">
        <v>242360</v>
      </c>
      <c r="W252">
        <v>0</v>
      </c>
      <c r="X252">
        <v>1238793.1499999999</v>
      </c>
      <c r="Y252">
        <v>6903168.71</v>
      </c>
      <c r="Z252">
        <v>6739641.5000000009</v>
      </c>
      <c r="AA252">
        <v>249922</v>
      </c>
      <c r="AB252">
        <v>0</v>
      </c>
      <c r="AC252">
        <v>219690.47</v>
      </c>
      <c r="AD252">
        <v>7001511.54</v>
      </c>
      <c r="AE252">
        <v>7507582.5399999991</v>
      </c>
      <c r="AF252">
        <v>261595</v>
      </c>
      <c r="AZ252">
        <v>5697</v>
      </c>
      <c r="BA252" t="s">
        <v>447</v>
      </c>
      <c r="BB252">
        <v>5112894.29</v>
      </c>
      <c r="BC252">
        <v>5321684.55</v>
      </c>
      <c r="BD252">
        <v>192227</v>
      </c>
      <c r="BG252">
        <v>5697</v>
      </c>
      <c r="BH252" t="s">
        <v>447</v>
      </c>
      <c r="BI252">
        <v>0</v>
      </c>
      <c r="BJ252">
        <v>612298.77</v>
      </c>
    </row>
    <row r="253" spans="1:62" x14ac:dyDescent="0.25">
      <c r="A253">
        <v>5607</v>
      </c>
      <c r="B253" t="s">
        <v>445</v>
      </c>
      <c r="C253">
        <v>0</v>
      </c>
      <c r="D253">
        <v>1342192.63</v>
      </c>
      <c r="E253">
        <v>6135582.2300000004</v>
      </c>
      <c r="F253">
        <v>5875483.71</v>
      </c>
      <c r="G253">
        <v>242296</v>
      </c>
      <c r="H253">
        <v>505000</v>
      </c>
      <c r="I253">
        <v>1128068.98</v>
      </c>
      <c r="J253">
        <v>6291070.8499999996</v>
      </c>
      <c r="K253">
        <v>5920633.1500000004</v>
      </c>
      <c r="L253">
        <v>264615</v>
      </c>
      <c r="M253">
        <v>0</v>
      </c>
      <c r="N253">
        <v>1833535.69</v>
      </c>
      <c r="O253">
        <v>6802963.5899999999</v>
      </c>
      <c r="P253">
        <v>5972139.6799999988</v>
      </c>
      <c r="Q253">
        <v>278582</v>
      </c>
      <c r="R253">
        <v>0</v>
      </c>
      <c r="S253">
        <v>1966353.96</v>
      </c>
      <c r="T253">
        <v>6854901.3300000001</v>
      </c>
      <c r="U253">
        <v>6699277.6399999997</v>
      </c>
      <c r="V253">
        <v>263705</v>
      </c>
      <c r="W253">
        <v>0</v>
      </c>
      <c r="X253">
        <v>2110606.19</v>
      </c>
      <c r="Y253">
        <v>7472614.6900000004</v>
      </c>
      <c r="Z253">
        <v>6829426.4000000004</v>
      </c>
      <c r="AA253">
        <v>293626</v>
      </c>
      <c r="AB253">
        <v>0</v>
      </c>
      <c r="AC253">
        <v>2430925.62</v>
      </c>
      <c r="AD253">
        <v>7669852.4100000001</v>
      </c>
      <c r="AE253">
        <v>7308203.0700000003</v>
      </c>
      <c r="AF253">
        <v>333912</v>
      </c>
      <c r="AZ253">
        <v>5724</v>
      </c>
      <c r="BA253" t="s">
        <v>448</v>
      </c>
      <c r="BB253">
        <v>2988223.48</v>
      </c>
      <c r="BC253">
        <v>2765923.5</v>
      </c>
      <c r="BD253">
        <v>101243</v>
      </c>
      <c r="BG253">
        <v>5724</v>
      </c>
      <c r="BH253" t="s">
        <v>448</v>
      </c>
      <c r="BI253">
        <v>0</v>
      </c>
      <c r="BJ253">
        <v>548076.34</v>
      </c>
    </row>
    <row r="254" spans="1:62" x14ac:dyDescent="0.25">
      <c r="A254">
        <v>5643</v>
      </c>
      <c r="B254" t="s">
        <v>446</v>
      </c>
      <c r="C254">
        <v>0</v>
      </c>
      <c r="D254">
        <v>181132.01</v>
      </c>
      <c r="E254">
        <v>8513658.9299999997</v>
      </c>
      <c r="F254">
        <v>8864128.8100000005</v>
      </c>
      <c r="G254">
        <v>328715</v>
      </c>
      <c r="H254">
        <v>0</v>
      </c>
      <c r="I254">
        <v>210887.71</v>
      </c>
      <c r="J254">
        <v>8868854.75</v>
      </c>
      <c r="K254">
        <v>8745759.4500000011</v>
      </c>
      <c r="L254">
        <v>362163</v>
      </c>
      <c r="M254">
        <v>0</v>
      </c>
      <c r="N254">
        <v>596811.44999999995</v>
      </c>
      <c r="O254">
        <v>9308055.1799999997</v>
      </c>
      <c r="P254">
        <v>8857696.4499999993</v>
      </c>
      <c r="Q254">
        <v>374891</v>
      </c>
      <c r="R254">
        <v>0</v>
      </c>
      <c r="S254">
        <v>1600385.36</v>
      </c>
      <c r="T254">
        <v>9961409.1699999999</v>
      </c>
      <c r="U254">
        <v>9017451.5700000003</v>
      </c>
      <c r="V254">
        <v>333300</v>
      </c>
      <c r="W254">
        <v>0</v>
      </c>
      <c r="X254">
        <v>2087607.44</v>
      </c>
      <c r="Y254">
        <v>9614790.6099999994</v>
      </c>
      <c r="Z254">
        <v>9186066.1100000013</v>
      </c>
      <c r="AA254">
        <v>334265</v>
      </c>
      <c r="AB254">
        <v>0</v>
      </c>
      <c r="AC254">
        <v>2178061.56</v>
      </c>
      <c r="AD254">
        <v>9663106.2200000007</v>
      </c>
      <c r="AE254">
        <v>9487141.2500000019</v>
      </c>
      <c r="AF254">
        <v>351122</v>
      </c>
      <c r="AZ254">
        <v>5805</v>
      </c>
      <c r="BA254" t="s">
        <v>449</v>
      </c>
      <c r="BB254">
        <v>14250661.58</v>
      </c>
      <c r="BC254">
        <v>14131259.049999999</v>
      </c>
      <c r="BD254">
        <v>443720</v>
      </c>
      <c r="BG254">
        <v>5805</v>
      </c>
      <c r="BH254" t="s">
        <v>449</v>
      </c>
      <c r="BI254">
        <v>174666.2</v>
      </c>
      <c r="BJ254">
        <v>2448376.0699999998</v>
      </c>
    </row>
    <row r="255" spans="1:62" x14ac:dyDescent="0.25">
      <c r="A255">
        <v>5697</v>
      </c>
      <c r="B255" t="s">
        <v>447</v>
      </c>
      <c r="C255">
        <v>0</v>
      </c>
      <c r="D255">
        <v>656371.42000000004</v>
      </c>
      <c r="E255">
        <v>5177111.7</v>
      </c>
      <c r="F255">
        <v>5010538.46</v>
      </c>
      <c r="G255">
        <v>199780</v>
      </c>
      <c r="H255">
        <v>0</v>
      </c>
      <c r="I255">
        <v>591722.93000000005</v>
      </c>
      <c r="J255">
        <v>4884794.13</v>
      </c>
      <c r="K255">
        <v>4913252.9400000004</v>
      </c>
      <c r="L255">
        <v>226325</v>
      </c>
      <c r="M255">
        <v>0</v>
      </c>
      <c r="N255">
        <v>654724.5</v>
      </c>
      <c r="O255">
        <v>4999001.0599999996</v>
      </c>
      <c r="P255">
        <v>4917363.0999999996</v>
      </c>
      <c r="Q255">
        <v>227040</v>
      </c>
      <c r="R255">
        <v>0</v>
      </c>
      <c r="S255">
        <v>876262.28</v>
      </c>
      <c r="T255">
        <v>5196726.1900000004</v>
      </c>
      <c r="U255">
        <v>4929716.9899999993</v>
      </c>
      <c r="V255">
        <v>200942</v>
      </c>
      <c r="W255">
        <v>0</v>
      </c>
      <c r="X255">
        <v>965110.84</v>
      </c>
      <c r="Y255">
        <v>5188749.91</v>
      </c>
      <c r="Z255">
        <v>5129367.16</v>
      </c>
      <c r="AA255">
        <v>192227</v>
      </c>
      <c r="AB255">
        <v>0</v>
      </c>
      <c r="AC255">
        <v>796410.41</v>
      </c>
      <c r="AD255">
        <v>5112894.29</v>
      </c>
      <c r="AE255">
        <v>5321684.55</v>
      </c>
      <c r="AF255">
        <v>200966</v>
      </c>
      <c r="AZ255">
        <v>5823</v>
      </c>
      <c r="BA255" t="s">
        <v>450</v>
      </c>
      <c r="BB255">
        <v>5095454.5</v>
      </c>
      <c r="BC255">
        <v>4935616.870000001</v>
      </c>
      <c r="BD255">
        <v>148118</v>
      </c>
      <c r="BG255">
        <v>5823</v>
      </c>
      <c r="BH255" t="s">
        <v>450</v>
      </c>
      <c r="BI255">
        <v>0</v>
      </c>
      <c r="BJ255">
        <v>878457.72</v>
      </c>
    </row>
    <row r="256" spans="1:62" x14ac:dyDescent="0.25">
      <c r="A256">
        <v>5724</v>
      </c>
      <c r="B256" t="s">
        <v>448</v>
      </c>
      <c r="C256">
        <v>0</v>
      </c>
      <c r="D256">
        <v>103398.63</v>
      </c>
      <c r="E256">
        <v>2653314.35</v>
      </c>
      <c r="F256">
        <v>2734134.07</v>
      </c>
      <c r="G256">
        <v>91949</v>
      </c>
      <c r="H256">
        <v>0</v>
      </c>
      <c r="I256">
        <v>33195.06</v>
      </c>
      <c r="J256">
        <v>2763843.04</v>
      </c>
      <c r="K256">
        <v>2838685.45</v>
      </c>
      <c r="L256">
        <v>103600</v>
      </c>
      <c r="M256">
        <v>0</v>
      </c>
      <c r="N256">
        <v>63849.14</v>
      </c>
      <c r="O256">
        <v>2854832.85</v>
      </c>
      <c r="P256">
        <v>2812172.2700000005</v>
      </c>
      <c r="Q256">
        <v>104924</v>
      </c>
      <c r="R256">
        <v>0</v>
      </c>
      <c r="S256">
        <v>301296.78999999998</v>
      </c>
      <c r="T256">
        <v>3069819.28</v>
      </c>
      <c r="U256">
        <v>2793014.98</v>
      </c>
      <c r="V256">
        <v>100313</v>
      </c>
      <c r="W256">
        <v>0</v>
      </c>
      <c r="X256">
        <v>519303.23</v>
      </c>
      <c r="Y256">
        <v>3117508.15</v>
      </c>
      <c r="Z256">
        <v>2837875.35</v>
      </c>
      <c r="AA256">
        <v>101243</v>
      </c>
      <c r="AB256">
        <v>0</v>
      </c>
      <c r="AC256">
        <v>681460.73</v>
      </c>
      <c r="AD256">
        <v>2988223.48</v>
      </c>
      <c r="AE256">
        <v>2765923.5</v>
      </c>
      <c r="AF256">
        <v>103381</v>
      </c>
      <c r="AZ256">
        <v>5832</v>
      </c>
      <c r="BA256" t="s">
        <v>451</v>
      </c>
      <c r="BB256">
        <v>3042189.62</v>
      </c>
      <c r="BC256">
        <v>3277397.25</v>
      </c>
      <c r="BD256">
        <v>122225</v>
      </c>
      <c r="BG256">
        <v>5832</v>
      </c>
      <c r="BH256" t="s">
        <v>451</v>
      </c>
      <c r="BI256">
        <v>0</v>
      </c>
      <c r="BJ256">
        <v>35942.870000000003</v>
      </c>
    </row>
    <row r="257" spans="1:62" x14ac:dyDescent="0.25">
      <c r="A257">
        <v>5805</v>
      </c>
      <c r="B257" t="s">
        <v>449</v>
      </c>
      <c r="C257">
        <v>73418.44</v>
      </c>
      <c r="D257">
        <v>2027272.93</v>
      </c>
      <c r="E257">
        <v>13243663.890000001</v>
      </c>
      <c r="F257">
        <v>13324305.540000001</v>
      </c>
      <c r="G257">
        <v>466082</v>
      </c>
      <c r="H257">
        <v>73418.44</v>
      </c>
      <c r="I257">
        <v>2175534.38</v>
      </c>
      <c r="J257">
        <v>13300979.17</v>
      </c>
      <c r="K257">
        <v>13147109.700000001</v>
      </c>
      <c r="L257">
        <v>492137</v>
      </c>
      <c r="M257">
        <v>0</v>
      </c>
      <c r="N257">
        <v>1903922.88</v>
      </c>
      <c r="O257">
        <v>13701028.23</v>
      </c>
      <c r="P257">
        <v>13535446.099999998</v>
      </c>
      <c r="Q257">
        <v>495489</v>
      </c>
      <c r="R257">
        <v>43607.18</v>
      </c>
      <c r="S257">
        <v>2709014.14</v>
      </c>
      <c r="T257">
        <v>14477315.16</v>
      </c>
      <c r="U257">
        <v>13747612.999999998</v>
      </c>
      <c r="V257">
        <v>440814</v>
      </c>
      <c r="W257">
        <v>126784.83</v>
      </c>
      <c r="X257">
        <v>2213711.0499999998</v>
      </c>
      <c r="Y257">
        <v>14017702.300000001</v>
      </c>
      <c r="Z257">
        <v>13637387.43</v>
      </c>
      <c r="AA257">
        <v>443720</v>
      </c>
      <c r="AB257">
        <v>148452.22</v>
      </c>
      <c r="AC257">
        <v>2613345.37</v>
      </c>
      <c r="AD257">
        <v>14250661.58</v>
      </c>
      <c r="AE257">
        <v>14131259.049999999</v>
      </c>
      <c r="AF257">
        <v>461660</v>
      </c>
      <c r="AZ257">
        <v>5877</v>
      </c>
      <c r="BA257" t="s">
        <v>452</v>
      </c>
      <c r="BB257">
        <v>14692097.560000001</v>
      </c>
      <c r="BC257">
        <v>15349128.699999997</v>
      </c>
      <c r="BD257">
        <v>531045</v>
      </c>
      <c r="BG257">
        <v>5877</v>
      </c>
      <c r="BH257" t="s">
        <v>452</v>
      </c>
      <c r="BI257">
        <v>0</v>
      </c>
      <c r="BJ257">
        <v>1911764.46</v>
      </c>
    </row>
    <row r="258" spans="1:62" x14ac:dyDescent="0.25">
      <c r="A258">
        <v>5823</v>
      </c>
      <c r="B258" t="s">
        <v>450</v>
      </c>
      <c r="C258">
        <v>0</v>
      </c>
      <c r="D258">
        <v>180707.52</v>
      </c>
      <c r="E258">
        <v>3924685.13</v>
      </c>
      <c r="F258">
        <v>4085589.93</v>
      </c>
      <c r="G258">
        <v>150332</v>
      </c>
      <c r="H258">
        <v>0</v>
      </c>
      <c r="I258">
        <v>-2985.35</v>
      </c>
      <c r="J258">
        <v>3930411.11</v>
      </c>
      <c r="K258">
        <v>4090113.89</v>
      </c>
      <c r="L258">
        <v>163420</v>
      </c>
      <c r="M258">
        <v>0</v>
      </c>
      <c r="N258">
        <v>269922.45</v>
      </c>
      <c r="O258">
        <v>4786367.25</v>
      </c>
      <c r="P258">
        <v>4486101.53</v>
      </c>
      <c r="Q258">
        <v>164682</v>
      </c>
      <c r="R258">
        <v>0</v>
      </c>
      <c r="S258">
        <v>564427.72</v>
      </c>
      <c r="T258">
        <v>5108332.09</v>
      </c>
      <c r="U258">
        <v>4815186.7</v>
      </c>
      <c r="V258">
        <v>146032</v>
      </c>
      <c r="W258">
        <v>0</v>
      </c>
      <c r="X258">
        <v>710122.47</v>
      </c>
      <c r="Y258">
        <v>5175176.2</v>
      </c>
      <c r="Z258">
        <v>4980724.58</v>
      </c>
      <c r="AA258">
        <v>148118</v>
      </c>
      <c r="AB258">
        <v>0</v>
      </c>
      <c r="AC258">
        <v>828789.45</v>
      </c>
      <c r="AD258">
        <v>5095454.5</v>
      </c>
      <c r="AE258">
        <v>4935616.870000001</v>
      </c>
      <c r="AF258">
        <v>154875</v>
      </c>
      <c r="AZ258">
        <v>5895</v>
      </c>
      <c r="BA258" t="s">
        <v>453</v>
      </c>
      <c r="BB258">
        <v>2328003.0699999998</v>
      </c>
      <c r="BC258">
        <v>2366603.33</v>
      </c>
      <c r="BD258">
        <v>96290</v>
      </c>
      <c r="BG258">
        <v>5895</v>
      </c>
      <c r="BH258" t="s">
        <v>453</v>
      </c>
      <c r="BI258">
        <v>0</v>
      </c>
      <c r="BJ258">
        <v>976028.55</v>
      </c>
    </row>
    <row r="259" spans="1:62" x14ac:dyDescent="0.25">
      <c r="A259">
        <v>5832</v>
      </c>
      <c r="B259" t="s">
        <v>451</v>
      </c>
      <c r="C259">
        <v>350000</v>
      </c>
      <c r="D259">
        <v>138608.26</v>
      </c>
      <c r="E259">
        <v>2801040.49</v>
      </c>
      <c r="F259">
        <v>2695755.8400000003</v>
      </c>
      <c r="G259">
        <v>107467</v>
      </c>
      <c r="H259">
        <v>350000</v>
      </c>
      <c r="I259">
        <v>352061.63</v>
      </c>
      <c r="J259">
        <v>2959554.84</v>
      </c>
      <c r="K259">
        <v>2729537.15</v>
      </c>
      <c r="L259">
        <v>126288</v>
      </c>
      <c r="M259">
        <v>0</v>
      </c>
      <c r="N259">
        <v>503270.43</v>
      </c>
      <c r="O259">
        <v>3045249.27</v>
      </c>
      <c r="P259">
        <v>2893945.4</v>
      </c>
      <c r="Q259">
        <v>128110</v>
      </c>
      <c r="R259">
        <v>0</v>
      </c>
      <c r="S259">
        <v>670430.18999999994</v>
      </c>
      <c r="T259">
        <v>3234255.24</v>
      </c>
      <c r="U259">
        <v>3053638.22</v>
      </c>
      <c r="V259">
        <v>118991</v>
      </c>
      <c r="W259">
        <v>0</v>
      </c>
      <c r="X259">
        <v>619028.02</v>
      </c>
      <c r="Y259">
        <v>3115372.6</v>
      </c>
      <c r="Z259">
        <v>3150028.3999999994</v>
      </c>
      <c r="AA259">
        <v>122225</v>
      </c>
      <c r="AB259">
        <v>0</v>
      </c>
      <c r="AC259">
        <v>346625.4</v>
      </c>
      <c r="AD259">
        <v>3042189.62</v>
      </c>
      <c r="AE259">
        <v>3277397.25</v>
      </c>
      <c r="AF259">
        <v>124666</v>
      </c>
      <c r="AZ259">
        <v>5949</v>
      </c>
      <c r="BA259" t="s">
        <v>454</v>
      </c>
      <c r="BB259">
        <v>10531811.18</v>
      </c>
      <c r="BC259">
        <v>10836093.300000001</v>
      </c>
      <c r="BD259">
        <v>402233</v>
      </c>
      <c r="BG259">
        <v>5949</v>
      </c>
      <c r="BH259" t="s">
        <v>454</v>
      </c>
      <c r="BI259">
        <v>0</v>
      </c>
      <c r="BJ259">
        <v>985785.01</v>
      </c>
    </row>
    <row r="260" spans="1:62" x14ac:dyDescent="0.25">
      <c r="A260">
        <v>5877</v>
      </c>
      <c r="B260" t="s">
        <v>452</v>
      </c>
      <c r="C260">
        <v>0</v>
      </c>
      <c r="D260">
        <v>1064337.7</v>
      </c>
      <c r="E260">
        <v>13669548.4</v>
      </c>
      <c r="F260">
        <v>13282389.220000001</v>
      </c>
      <c r="G260">
        <v>510399</v>
      </c>
      <c r="H260">
        <v>0</v>
      </c>
      <c r="I260">
        <v>1237990.01</v>
      </c>
      <c r="J260">
        <v>13785779.970000001</v>
      </c>
      <c r="K260">
        <v>13533165.780000003</v>
      </c>
      <c r="L260">
        <v>561727</v>
      </c>
      <c r="M260">
        <v>0</v>
      </c>
      <c r="N260">
        <v>1948378.64</v>
      </c>
      <c r="O260">
        <v>14698353.83</v>
      </c>
      <c r="P260">
        <v>13916493.9</v>
      </c>
      <c r="Q260">
        <v>572872</v>
      </c>
      <c r="R260">
        <v>0</v>
      </c>
      <c r="S260">
        <v>2957132.43</v>
      </c>
      <c r="T260">
        <v>15229078.83</v>
      </c>
      <c r="U260">
        <v>14209809.319999998</v>
      </c>
      <c r="V260">
        <v>531633</v>
      </c>
      <c r="W260">
        <v>0</v>
      </c>
      <c r="X260">
        <v>3353781.61</v>
      </c>
      <c r="Y260">
        <v>15297755.720000001</v>
      </c>
      <c r="Z260">
        <v>14606693.689999999</v>
      </c>
      <c r="AA260">
        <v>531045</v>
      </c>
      <c r="AB260">
        <v>0</v>
      </c>
      <c r="AC260">
        <v>2545185.13</v>
      </c>
      <c r="AD260">
        <v>14692097.560000001</v>
      </c>
      <c r="AE260">
        <v>15349128.699999997</v>
      </c>
      <c r="AF260">
        <v>555388</v>
      </c>
      <c r="AZ260">
        <v>5976</v>
      </c>
      <c r="BA260" t="s">
        <v>455</v>
      </c>
      <c r="BB260">
        <v>10592619</v>
      </c>
      <c r="BC260">
        <v>10161862.32</v>
      </c>
      <c r="BD260">
        <v>381094</v>
      </c>
      <c r="BG260">
        <v>5976</v>
      </c>
      <c r="BH260" t="s">
        <v>455</v>
      </c>
      <c r="BI260">
        <v>183904.27</v>
      </c>
      <c r="BJ260">
        <v>1604717.5</v>
      </c>
    </row>
    <row r="261" spans="1:62" x14ac:dyDescent="0.25">
      <c r="A261">
        <v>5895</v>
      </c>
      <c r="B261" t="s">
        <v>453</v>
      </c>
      <c r="C261">
        <v>0</v>
      </c>
      <c r="D261">
        <v>97381.5</v>
      </c>
      <c r="E261">
        <v>2745380.42</v>
      </c>
      <c r="F261">
        <v>2704175.35</v>
      </c>
      <c r="G261">
        <v>102462</v>
      </c>
      <c r="H261">
        <v>0</v>
      </c>
      <c r="I261">
        <v>-76929.039999999994</v>
      </c>
      <c r="J261">
        <v>2531939.16</v>
      </c>
      <c r="K261">
        <v>2696647.8499999996</v>
      </c>
      <c r="L261">
        <v>108129</v>
      </c>
      <c r="M261">
        <v>0</v>
      </c>
      <c r="N261">
        <v>230610.7</v>
      </c>
      <c r="O261">
        <v>2763908.05</v>
      </c>
      <c r="P261">
        <v>2448436.91</v>
      </c>
      <c r="Q261">
        <v>108278</v>
      </c>
      <c r="R261">
        <v>0</v>
      </c>
      <c r="S261">
        <v>641756.29</v>
      </c>
      <c r="T261">
        <v>2760147.54</v>
      </c>
      <c r="U261">
        <v>2354532.84</v>
      </c>
      <c r="V261">
        <v>94776</v>
      </c>
      <c r="W261">
        <v>0</v>
      </c>
      <c r="X261">
        <v>808445.11</v>
      </c>
      <c r="Y261">
        <v>2606508.69</v>
      </c>
      <c r="Z261">
        <v>2443418.8699999996</v>
      </c>
      <c r="AA261">
        <v>96290</v>
      </c>
      <c r="AB261">
        <v>0</v>
      </c>
      <c r="AC261">
        <v>765251.47</v>
      </c>
      <c r="AD261">
        <v>2328003.0699999998</v>
      </c>
      <c r="AE261">
        <v>2366603.33</v>
      </c>
      <c r="AF261">
        <v>100309</v>
      </c>
      <c r="AZ261">
        <v>5994</v>
      </c>
      <c r="BA261" t="s">
        <v>456</v>
      </c>
      <c r="BB261">
        <v>7461202.4699999997</v>
      </c>
      <c r="BC261">
        <v>7835832.4699999988</v>
      </c>
      <c r="BD261">
        <v>293691</v>
      </c>
      <c r="BG261">
        <v>5994</v>
      </c>
      <c r="BH261" t="s">
        <v>456</v>
      </c>
      <c r="BI261">
        <v>0</v>
      </c>
      <c r="BJ261">
        <v>1112539.31</v>
      </c>
    </row>
    <row r="262" spans="1:62" x14ac:dyDescent="0.25">
      <c r="A262">
        <v>5949</v>
      </c>
      <c r="B262" t="s">
        <v>454</v>
      </c>
      <c r="C262">
        <v>1856.4</v>
      </c>
      <c r="D262">
        <v>659719.64</v>
      </c>
      <c r="E262">
        <v>9269812.3800000008</v>
      </c>
      <c r="F262">
        <v>8899161.0700000003</v>
      </c>
      <c r="G262">
        <v>394824</v>
      </c>
      <c r="H262">
        <v>1856.4</v>
      </c>
      <c r="I262">
        <v>955534.85</v>
      </c>
      <c r="J262">
        <v>9363153.7899999991</v>
      </c>
      <c r="K262">
        <v>8997516.6100000013</v>
      </c>
      <c r="L262">
        <v>431559</v>
      </c>
      <c r="M262">
        <v>0</v>
      </c>
      <c r="N262">
        <v>1379732.82</v>
      </c>
      <c r="O262">
        <v>10225300.65</v>
      </c>
      <c r="P262">
        <v>9711351.8399999999</v>
      </c>
      <c r="Q262">
        <v>444320</v>
      </c>
      <c r="R262">
        <v>0</v>
      </c>
      <c r="S262">
        <v>1155746.69</v>
      </c>
      <c r="T262">
        <v>10083317.970000001</v>
      </c>
      <c r="U262">
        <v>10332192.720000003</v>
      </c>
      <c r="V262">
        <v>402323</v>
      </c>
      <c r="W262">
        <v>0</v>
      </c>
      <c r="X262">
        <v>1354073.85</v>
      </c>
      <c r="Y262">
        <v>10125340.529999999</v>
      </c>
      <c r="Z262">
        <v>9914315.8300000001</v>
      </c>
      <c r="AA262">
        <v>402233</v>
      </c>
      <c r="AB262">
        <v>0</v>
      </c>
      <c r="AC262">
        <v>1051609.33</v>
      </c>
      <c r="AD262">
        <v>10531811.18</v>
      </c>
      <c r="AE262">
        <v>10836093.300000001</v>
      </c>
      <c r="AF262">
        <v>420470</v>
      </c>
      <c r="AZ262">
        <v>6003</v>
      </c>
      <c r="BA262" t="s">
        <v>457</v>
      </c>
      <c r="BB262">
        <v>5120350.58</v>
      </c>
      <c r="BC262">
        <v>4703312.3500000006</v>
      </c>
      <c r="BD262">
        <v>139938</v>
      </c>
      <c r="BG262">
        <v>6003</v>
      </c>
      <c r="BH262" t="s">
        <v>457</v>
      </c>
      <c r="BI262">
        <v>7440.27</v>
      </c>
      <c r="BJ262">
        <v>400176.19</v>
      </c>
    </row>
    <row r="263" spans="1:62" x14ac:dyDescent="0.25">
      <c r="A263">
        <v>5976</v>
      </c>
      <c r="B263" t="s">
        <v>455</v>
      </c>
      <c r="C263">
        <v>0</v>
      </c>
      <c r="D263">
        <v>887745.7</v>
      </c>
      <c r="E263">
        <v>9270685.2899999991</v>
      </c>
      <c r="F263">
        <v>9650424.290000001</v>
      </c>
      <c r="G263">
        <v>369498</v>
      </c>
      <c r="H263">
        <v>0</v>
      </c>
      <c r="I263">
        <v>236107.75</v>
      </c>
      <c r="J263">
        <v>9146799.2400000002</v>
      </c>
      <c r="K263">
        <v>9699760.9100000001</v>
      </c>
      <c r="L263">
        <v>395530</v>
      </c>
      <c r="M263">
        <v>186545.35</v>
      </c>
      <c r="N263">
        <v>445594.8</v>
      </c>
      <c r="O263">
        <v>10059557.640000001</v>
      </c>
      <c r="P263">
        <v>9545084.8399999999</v>
      </c>
      <c r="Q263">
        <v>413540</v>
      </c>
      <c r="R263">
        <v>189177.12</v>
      </c>
      <c r="S263">
        <v>862351.13</v>
      </c>
      <c r="T263">
        <v>10522115.57</v>
      </c>
      <c r="U263">
        <v>10021766.76</v>
      </c>
      <c r="V263">
        <v>385074</v>
      </c>
      <c r="W263">
        <v>183500.31</v>
      </c>
      <c r="X263">
        <v>1338472.75</v>
      </c>
      <c r="Y263">
        <v>10331686.43</v>
      </c>
      <c r="Z263">
        <v>10028393.07</v>
      </c>
      <c r="AA263">
        <v>381094</v>
      </c>
      <c r="AB263">
        <v>184764.95</v>
      </c>
      <c r="AC263">
        <v>1750023.12</v>
      </c>
      <c r="AD263">
        <v>10592619</v>
      </c>
      <c r="AE263">
        <v>10161862.32</v>
      </c>
      <c r="AF263">
        <v>392820</v>
      </c>
      <c r="AZ263">
        <v>6012</v>
      </c>
      <c r="BA263" t="s">
        <v>458</v>
      </c>
      <c r="BB263">
        <v>5674227.7999999998</v>
      </c>
      <c r="BC263">
        <v>5690165.8899999997</v>
      </c>
      <c r="BD263">
        <v>209713</v>
      </c>
      <c r="BG263">
        <v>6012</v>
      </c>
      <c r="BH263" t="s">
        <v>458</v>
      </c>
      <c r="BI263">
        <v>24517.13</v>
      </c>
      <c r="BJ263">
        <v>2308222.35</v>
      </c>
    </row>
    <row r="264" spans="1:62" x14ac:dyDescent="0.25">
      <c r="A264">
        <v>5994</v>
      </c>
      <c r="B264" t="s">
        <v>456</v>
      </c>
      <c r="C264">
        <v>0</v>
      </c>
      <c r="D264">
        <v>1203.29</v>
      </c>
      <c r="E264">
        <v>7915064.71</v>
      </c>
      <c r="F264">
        <v>7485051.1899999995</v>
      </c>
      <c r="G264">
        <v>310801</v>
      </c>
      <c r="H264">
        <v>0</v>
      </c>
      <c r="I264">
        <v>569786.43000000005</v>
      </c>
      <c r="J264">
        <v>7774031.1799999997</v>
      </c>
      <c r="K264">
        <v>7189911.5999999996</v>
      </c>
      <c r="L264">
        <v>332779</v>
      </c>
      <c r="M264">
        <v>0</v>
      </c>
      <c r="N264">
        <v>1146615.71</v>
      </c>
      <c r="O264">
        <v>7968821.3200000003</v>
      </c>
      <c r="P264">
        <v>7343079.5499999998</v>
      </c>
      <c r="Q264">
        <v>332139</v>
      </c>
      <c r="R264">
        <v>0</v>
      </c>
      <c r="S264">
        <v>1433549.98</v>
      </c>
      <c r="T264">
        <v>8102608.9199999999</v>
      </c>
      <c r="U264">
        <v>7618995.6000000006</v>
      </c>
      <c r="V264">
        <v>295638</v>
      </c>
      <c r="W264">
        <v>0</v>
      </c>
      <c r="X264">
        <v>1077746.05</v>
      </c>
      <c r="Y264">
        <v>7496005.6500000004</v>
      </c>
      <c r="Z264">
        <v>7701747.8499999996</v>
      </c>
      <c r="AA264">
        <v>293691</v>
      </c>
      <c r="AB264">
        <v>0</v>
      </c>
      <c r="AC264">
        <v>685532.87</v>
      </c>
      <c r="AD264">
        <v>7461202.4699999997</v>
      </c>
      <c r="AE264">
        <v>7835832.4699999988</v>
      </c>
      <c r="AF264">
        <v>307839</v>
      </c>
      <c r="AZ264">
        <v>6030</v>
      </c>
      <c r="BA264" t="s">
        <v>459</v>
      </c>
      <c r="BB264">
        <v>11052939.140000001</v>
      </c>
      <c r="BC264">
        <v>11435414.850000001</v>
      </c>
      <c r="BD264">
        <v>459315</v>
      </c>
      <c r="BG264">
        <v>6030</v>
      </c>
      <c r="BH264" t="s">
        <v>459</v>
      </c>
      <c r="BI264">
        <v>37954.300000000003</v>
      </c>
      <c r="BJ264">
        <v>1273672.17</v>
      </c>
    </row>
    <row r="265" spans="1:62" x14ac:dyDescent="0.25">
      <c r="A265">
        <v>6003</v>
      </c>
      <c r="B265" t="s">
        <v>457</v>
      </c>
      <c r="C265">
        <v>0</v>
      </c>
      <c r="D265">
        <v>826557.94</v>
      </c>
      <c r="E265">
        <v>3869523.3</v>
      </c>
      <c r="F265">
        <v>3813932.6399999997</v>
      </c>
      <c r="G265">
        <v>138325</v>
      </c>
      <c r="H265">
        <v>0</v>
      </c>
      <c r="I265">
        <v>566550.59</v>
      </c>
      <c r="J265">
        <v>3807167.6</v>
      </c>
      <c r="K265">
        <v>3978834.37</v>
      </c>
      <c r="L265">
        <v>147831</v>
      </c>
      <c r="M265">
        <v>13168.9</v>
      </c>
      <c r="N265">
        <v>385765.66</v>
      </c>
      <c r="O265">
        <v>4170876.85</v>
      </c>
      <c r="P265">
        <v>4300552.42</v>
      </c>
      <c r="Q265">
        <v>158235</v>
      </c>
      <c r="R265">
        <v>15880.95</v>
      </c>
      <c r="S265">
        <v>265492.65000000002</v>
      </c>
      <c r="T265">
        <v>4360424.1399999997</v>
      </c>
      <c r="U265">
        <v>4596114.8100000005</v>
      </c>
      <c r="V265">
        <v>140809</v>
      </c>
      <c r="W265">
        <v>0</v>
      </c>
      <c r="X265">
        <v>9010.24</v>
      </c>
      <c r="Y265">
        <v>4414670.59</v>
      </c>
      <c r="Z265">
        <v>4690996.3600000003</v>
      </c>
      <c r="AA265">
        <v>139938</v>
      </c>
      <c r="AB265">
        <v>10732.72</v>
      </c>
      <c r="AC265">
        <v>285217.36</v>
      </c>
      <c r="AD265">
        <v>5120350.58</v>
      </c>
      <c r="AE265">
        <v>4703312.3500000006</v>
      </c>
      <c r="AF265">
        <v>142852</v>
      </c>
      <c r="AZ265">
        <v>6048</v>
      </c>
      <c r="BA265" t="s">
        <v>460</v>
      </c>
      <c r="BB265">
        <v>6404408.3300000001</v>
      </c>
      <c r="BC265">
        <v>6361862.9100000001</v>
      </c>
      <c r="BD265">
        <v>190165</v>
      </c>
      <c r="BG265">
        <v>6048</v>
      </c>
      <c r="BH265" t="s">
        <v>460</v>
      </c>
      <c r="BI265">
        <v>0</v>
      </c>
      <c r="BJ265">
        <v>1352607.11</v>
      </c>
    </row>
    <row r="266" spans="1:62" x14ac:dyDescent="0.25">
      <c r="A266">
        <v>6012</v>
      </c>
      <c r="B266" t="s">
        <v>458</v>
      </c>
      <c r="C266">
        <v>56246.74</v>
      </c>
      <c r="D266">
        <v>875414.11</v>
      </c>
      <c r="E266">
        <v>6000027.25</v>
      </c>
      <c r="F266">
        <v>6040589.2999999998</v>
      </c>
      <c r="G266">
        <v>216486</v>
      </c>
      <c r="H266">
        <v>56246.74</v>
      </c>
      <c r="I266">
        <v>372110.33</v>
      </c>
      <c r="J266">
        <v>5962204.0800000001</v>
      </c>
      <c r="K266">
        <v>6409561.1900000004</v>
      </c>
      <c r="L266">
        <v>234365</v>
      </c>
      <c r="M266">
        <v>56548.14</v>
      </c>
      <c r="N266">
        <v>477938.65</v>
      </c>
      <c r="O266">
        <v>6563666.8200000003</v>
      </c>
      <c r="P266">
        <v>6514873.7499999991</v>
      </c>
      <c r="Q266">
        <v>237125</v>
      </c>
      <c r="R266">
        <v>56440.19</v>
      </c>
      <c r="S266">
        <v>1521649.82</v>
      </c>
      <c r="T266">
        <v>6459910.0700000003</v>
      </c>
      <c r="U266">
        <v>5380159.9799999995</v>
      </c>
      <c r="V266">
        <v>211064</v>
      </c>
      <c r="W266">
        <v>57440.19</v>
      </c>
      <c r="X266">
        <v>2408936.5099999998</v>
      </c>
      <c r="Y266">
        <v>6542987.8799999999</v>
      </c>
      <c r="Z266">
        <v>5586192.0800000001</v>
      </c>
      <c r="AA266">
        <v>209713</v>
      </c>
      <c r="AB266">
        <v>12913.68</v>
      </c>
      <c r="AC266">
        <v>2466785.44</v>
      </c>
      <c r="AD266">
        <v>5674227.7999999998</v>
      </c>
      <c r="AE266">
        <v>5690165.8899999997</v>
      </c>
      <c r="AF266">
        <v>214958</v>
      </c>
      <c r="AZ266">
        <v>6039</v>
      </c>
      <c r="BA266" t="s">
        <v>461</v>
      </c>
      <c r="BB266">
        <v>151114313.97</v>
      </c>
      <c r="BC266">
        <v>149019795.14000002</v>
      </c>
      <c r="BD266">
        <v>5532645</v>
      </c>
      <c r="BG266">
        <v>6039</v>
      </c>
      <c r="BH266" t="s">
        <v>461</v>
      </c>
      <c r="BI266">
        <v>0</v>
      </c>
      <c r="BJ266">
        <v>21144729.809999999</v>
      </c>
    </row>
    <row r="267" spans="1:62" x14ac:dyDescent="0.25">
      <c r="A267">
        <v>6030</v>
      </c>
      <c r="B267" t="s">
        <v>459</v>
      </c>
      <c r="C267">
        <v>24508.22</v>
      </c>
      <c r="D267">
        <v>762098.43</v>
      </c>
      <c r="E267">
        <v>9712728.5500000007</v>
      </c>
      <c r="F267">
        <v>9124586.5700000003</v>
      </c>
      <c r="G267">
        <v>414317</v>
      </c>
      <c r="H267">
        <v>25371.67</v>
      </c>
      <c r="I267">
        <v>811229.46</v>
      </c>
      <c r="J267">
        <v>9632606.5700000003</v>
      </c>
      <c r="K267">
        <v>9569257.629999999</v>
      </c>
      <c r="L267">
        <v>458122</v>
      </c>
      <c r="M267">
        <v>0</v>
      </c>
      <c r="N267">
        <v>1256333.6599999999</v>
      </c>
      <c r="O267">
        <v>10303131.34</v>
      </c>
      <c r="P267">
        <v>9852341.129999999</v>
      </c>
      <c r="Q267">
        <v>465672</v>
      </c>
      <c r="R267">
        <v>16967.939999999999</v>
      </c>
      <c r="S267">
        <v>1916564.6</v>
      </c>
      <c r="T267">
        <v>10782213.02</v>
      </c>
      <c r="U267">
        <v>10112145.310000001</v>
      </c>
      <c r="V267">
        <v>440446</v>
      </c>
      <c r="W267">
        <v>17378.169999999998</v>
      </c>
      <c r="X267">
        <v>2068438.03</v>
      </c>
      <c r="Y267">
        <v>10888103.82</v>
      </c>
      <c r="Z267">
        <v>10687303.509999998</v>
      </c>
      <c r="AA267">
        <v>459315</v>
      </c>
      <c r="AB267">
        <v>26149.53</v>
      </c>
      <c r="AC267">
        <v>1626443.58</v>
      </c>
      <c r="AD267">
        <v>11052939.140000001</v>
      </c>
      <c r="AE267">
        <v>11435414.850000001</v>
      </c>
      <c r="AF267">
        <v>490906</v>
      </c>
      <c r="AZ267">
        <v>6093</v>
      </c>
      <c r="BA267" t="s">
        <v>462</v>
      </c>
      <c r="BB267">
        <v>12470492.48</v>
      </c>
      <c r="BC267">
        <v>12589293.1</v>
      </c>
      <c r="BD267">
        <v>460733</v>
      </c>
      <c r="BG267">
        <v>6093</v>
      </c>
      <c r="BH267" t="s">
        <v>462</v>
      </c>
      <c r="BI267">
        <v>9377.81</v>
      </c>
      <c r="BJ267">
        <v>2562192.11</v>
      </c>
    </row>
    <row r="268" spans="1:62" x14ac:dyDescent="0.25">
      <c r="A268">
        <v>6035</v>
      </c>
      <c r="B268" t="s">
        <v>460</v>
      </c>
      <c r="C268">
        <v>1472.19</v>
      </c>
      <c r="D268">
        <v>859299.16</v>
      </c>
      <c r="E268">
        <v>5347732.7699999996</v>
      </c>
      <c r="F268">
        <v>5182942.3999999994</v>
      </c>
      <c r="G268">
        <v>162232</v>
      </c>
      <c r="H268">
        <v>1472.19</v>
      </c>
      <c r="I268">
        <v>813199.06</v>
      </c>
      <c r="J268">
        <v>5255106.78</v>
      </c>
      <c r="K268">
        <v>5241264.7299999986</v>
      </c>
      <c r="L268">
        <v>177644</v>
      </c>
      <c r="M268">
        <v>0</v>
      </c>
      <c r="N268">
        <v>1095372.94</v>
      </c>
      <c r="O268">
        <v>6102451.9400000004</v>
      </c>
      <c r="P268">
        <v>5605272.04</v>
      </c>
      <c r="Q268">
        <v>200352</v>
      </c>
      <c r="R268">
        <v>0</v>
      </c>
      <c r="S268">
        <v>1974971.02</v>
      </c>
      <c r="T268">
        <v>6567478.0700000003</v>
      </c>
      <c r="U268">
        <v>5811270.7199999997</v>
      </c>
      <c r="V268">
        <v>187670</v>
      </c>
      <c r="W268">
        <v>0</v>
      </c>
      <c r="X268">
        <v>1690874.39</v>
      </c>
      <c r="Y268">
        <v>5915736.71</v>
      </c>
      <c r="Z268">
        <v>6239160.9400000004</v>
      </c>
      <c r="AA268">
        <v>190165</v>
      </c>
      <c r="AB268">
        <v>0</v>
      </c>
      <c r="AC268">
        <v>1626440.55</v>
      </c>
      <c r="AD268">
        <v>6404408.3300000001</v>
      </c>
      <c r="AE268">
        <v>6361862.9100000001</v>
      </c>
      <c r="AF268">
        <v>200425</v>
      </c>
      <c r="AZ268">
        <v>6091</v>
      </c>
      <c r="BA268" t="s">
        <v>463</v>
      </c>
      <c r="BB268">
        <v>5746869.8300000001</v>
      </c>
      <c r="BC268">
        <v>5531621.3599999994</v>
      </c>
      <c r="BD268">
        <v>191348</v>
      </c>
      <c r="BG268">
        <v>6091</v>
      </c>
      <c r="BH268" t="s">
        <v>463</v>
      </c>
      <c r="BI268">
        <v>799613.85</v>
      </c>
      <c r="BJ268">
        <v>4607604.7</v>
      </c>
    </row>
    <row r="269" spans="1:62" x14ac:dyDescent="0.25">
      <c r="A269">
        <v>6039</v>
      </c>
      <c r="B269" t="s">
        <v>461</v>
      </c>
      <c r="C269">
        <v>5500000</v>
      </c>
      <c r="D269">
        <v>6298117.3600000003</v>
      </c>
      <c r="E269">
        <v>131022414.09999999</v>
      </c>
      <c r="F269">
        <v>130757303.05</v>
      </c>
      <c r="G269">
        <v>5146840</v>
      </c>
      <c r="H269">
        <v>5500000</v>
      </c>
      <c r="I269">
        <v>2246116.89</v>
      </c>
      <c r="J269">
        <v>130597052.40000001</v>
      </c>
      <c r="K269">
        <v>133519105.52000001</v>
      </c>
      <c r="L269">
        <v>5729737</v>
      </c>
      <c r="M269">
        <v>0</v>
      </c>
      <c r="N269">
        <v>10048118.210000001</v>
      </c>
      <c r="O269">
        <v>140391680.74000001</v>
      </c>
      <c r="P269">
        <v>137610406.62</v>
      </c>
      <c r="Q269">
        <v>5943462</v>
      </c>
      <c r="R269">
        <v>0</v>
      </c>
      <c r="S269">
        <v>13763875.289999999</v>
      </c>
      <c r="T269">
        <v>146521806.63999999</v>
      </c>
      <c r="U269">
        <v>142546245.84999996</v>
      </c>
      <c r="V269">
        <v>5428584</v>
      </c>
      <c r="W269">
        <v>0</v>
      </c>
      <c r="X269">
        <v>15910250.710000001</v>
      </c>
      <c r="Y269">
        <v>146284111.33000001</v>
      </c>
      <c r="Z269">
        <v>144457015.19000003</v>
      </c>
      <c r="AA269">
        <v>5532645</v>
      </c>
      <c r="AB269">
        <v>0</v>
      </c>
      <c r="AC269">
        <v>17442053.32</v>
      </c>
      <c r="AD269">
        <v>151114313.97</v>
      </c>
      <c r="AE269">
        <v>149019795.14000002</v>
      </c>
      <c r="AF269">
        <v>5879378</v>
      </c>
      <c r="AZ269">
        <v>6095</v>
      </c>
      <c r="BA269" t="s">
        <v>465</v>
      </c>
      <c r="BB269">
        <v>7202492.9199999999</v>
      </c>
      <c r="BC269">
        <v>7803100.4800000004</v>
      </c>
      <c r="BD269">
        <v>268471</v>
      </c>
      <c r="BG269">
        <v>6095</v>
      </c>
      <c r="BH269" t="s">
        <v>465</v>
      </c>
      <c r="BI269">
        <v>0</v>
      </c>
      <c r="BJ269">
        <v>346185.45</v>
      </c>
    </row>
    <row r="270" spans="1:62" x14ac:dyDescent="0.25">
      <c r="A270">
        <v>6093</v>
      </c>
      <c r="B270" t="s">
        <v>462</v>
      </c>
      <c r="C270">
        <v>0</v>
      </c>
      <c r="D270">
        <v>1096695.8799999999</v>
      </c>
      <c r="E270">
        <v>10455077.18</v>
      </c>
      <c r="F270">
        <v>10275181.42</v>
      </c>
      <c r="G270">
        <v>424170</v>
      </c>
      <c r="H270">
        <v>0</v>
      </c>
      <c r="I270">
        <v>1046813.16</v>
      </c>
      <c r="J270">
        <v>10243305.109999999</v>
      </c>
      <c r="K270">
        <v>10229939.550000001</v>
      </c>
      <c r="L270">
        <v>465297</v>
      </c>
      <c r="M270">
        <v>0</v>
      </c>
      <c r="N270">
        <v>1577217.08</v>
      </c>
      <c r="O270">
        <v>11928354.109999999</v>
      </c>
      <c r="P270">
        <v>11373418.77</v>
      </c>
      <c r="Q270">
        <v>480932</v>
      </c>
      <c r="R270">
        <v>21174.97</v>
      </c>
      <c r="S270">
        <v>2609305.17</v>
      </c>
      <c r="T270">
        <v>12221916.09</v>
      </c>
      <c r="U270">
        <v>11162218.470000001</v>
      </c>
      <c r="V270">
        <v>448667</v>
      </c>
      <c r="W270">
        <v>13515.16</v>
      </c>
      <c r="X270">
        <v>3292190.81</v>
      </c>
      <c r="Y270">
        <v>12443619.85</v>
      </c>
      <c r="Z270">
        <v>11660389.949999999</v>
      </c>
      <c r="AA270">
        <v>460733</v>
      </c>
      <c r="AB270">
        <v>17085.32</v>
      </c>
      <c r="AC270">
        <v>3232306.22</v>
      </c>
      <c r="AD270">
        <v>12470492.48</v>
      </c>
      <c r="AE270">
        <v>12589293.1</v>
      </c>
      <c r="AF270">
        <v>486834</v>
      </c>
      <c r="AZ270">
        <v>5157</v>
      </c>
      <c r="BA270" t="s">
        <v>466</v>
      </c>
      <c r="BB270">
        <v>7256159.1200000001</v>
      </c>
      <c r="BC270">
        <v>7335691.75</v>
      </c>
      <c r="BD270">
        <v>265903</v>
      </c>
      <c r="BG270">
        <v>5157</v>
      </c>
      <c r="BH270" t="s">
        <v>466</v>
      </c>
      <c r="BI270">
        <v>0</v>
      </c>
      <c r="BJ270">
        <v>845282.66</v>
      </c>
    </row>
    <row r="271" spans="1:62" x14ac:dyDescent="0.25">
      <c r="A271">
        <v>6091</v>
      </c>
      <c r="B271" t="s">
        <v>463</v>
      </c>
      <c r="C271">
        <v>0</v>
      </c>
      <c r="D271">
        <v>216166.43</v>
      </c>
      <c r="E271">
        <v>5070825.62</v>
      </c>
      <c r="F271">
        <v>5145200.8199999994</v>
      </c>
      <c r="G271">
        <v>191962</v>
      </c>
      <c r="H271">
        <v>0</v>
      </c>
      <c r="I271">
        <v>-294444.96999999997</v>
      </c>
      <c r="J271">
        <v>4834919.3499999996</v>
      </c>
      <c r="K271">
        <v>5322093</v>
      </c>
      <c r="L271">
        <v>208315</v>
      </c>
      <c r="M271">
        <v>0</v>
      </c>
      <c r="N271">
        <v>-134425.25</v>
      </c>
      <c r="O271">
        <v>5415873.2400000002</v>
      </c>
      <c r="P271">
        <v>5209375.13</v>
      </c>
      <c r="Q271">
        <v>211144</v>
      </c>
      <c r="R271">
        <v>0</v>
      </c>
      <c r="S271">
        <v>505126.46</v>
      </c>
      <c r="T271">
        <v>6635683.2800000003</v>
      </c>
      <c r="U271">
        <v>5843710.3099999996</v>
      </c>
      <c r="V271">
        <v>186702</v>
      </c>
      <c r="W271">
        <v>0</v>
      </c>
      <c r="X271">
        <v>1061503.53</v>
      </c>
      <c r="Y271">
        <v>5726694.2300000004</v>
      </c>
      <c r="Z271">
        <v>4946171.2799999993</v>
      </c>
      <c r="AA271">
        <v>191348</v>
      </c>
      <c r="AB271">
        <v>507605.51</v>
      </c>
      <c r="AC271">
        <v>1135268.3600000001</v>
      </c>
      <c r="AD271">
        <v>5746869.8300000001</v>
      </c>
      <c r="AE271">
        <v>5531621.3599999994</v>
      </c>
      <c r="AF271">
        <v>195452</v>
      </c>
      <c r="AZ271">
        <v>6097</v>
      </c>
      <c r="BA271" t="s">
        <v>467</v>
      </c>
      <c r="BB271">
        <v>2731833.16</v>
      </c>
      <c r="BC271">
        <v>2718601.43</v>
      </c>
      <c r="BD271">
        <v>91025</v>
      </c>
      <c r="BG271">
        <v>6097</v>
      </c>
      <c r="BH271" t="s">
        <v>467</v>
      </c>
      <c r="BI271">
        <v>0</v>
      </c>
      <c r="BJ271">
        <v>175708.58</v>
      </c>
    </row>
    <row r="272" spans="1:62" x14ac:dyDescent="0.25">
      <c r="A272">
        <v>6092</v>
      </c>
      <c r="B272" t="s">
        <v>464</v>
      </c>
      <c r="C272">
        <v>0</v>
      </c>
      <c r="D272">
        <v>332453.28999999998</v>
      </c>
      <c r="E272">
        <v>1518471.49</v>
      </c>
      <c r="F272">
        <v>1562581.19</v>
      </c>
      <c r="G272">
        <v>61173</v>
      </c>
      <c r="H272">
        <v>0</v>
      </c>
      <c r="I272">
        <v>228788.63</v>
      </c>
      <c r="J272">
        <v>1603637.63</v>
      </c>
      <c r="K272">
        <v>1707302.2899999998</v>
      </c>
      <c r="L272">
        <v>65826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AZ272">
        <v>6098</v>
      </c>
      <c r="BA272" t="s">
        <v>468</v>
      </c>
      <c r="BB272">
        <v>16117751.34</v>
      </c>
      <c r="BC272">
        <v>14953085.9</v>
      </c>
      <c r="BD272">
        <v>606720</v>
      </c>
      <c r="BG272">
        <v>6098</v>
      </c>
      <c r="BH272" t="s">
        <v>468</v>
      </c>
      <c r="BI272">
        <v>0</v>
      </c>
      <c r="BJ272">
        <v>92552.7</v>
      </c>
    </row>
    <row r="273" spans="1:62" x14ac:dyDescent="0.25">
      <c r="A273">
        <v>6095</v>
      </c>
      <c r="B273" t="s">
        <v>465</v>
      </c>
      <c r="C273">
        <v>0</v>
      </c>
      <c r="D273">
        <v>379377.86</v>
      </c>
      <c r="E273">
        <v>7334027.75</v>
      </c>
      <c r="F273">
        <v>6966421.9800000004</v>
      </c>
      <c r="G273">
        <v>269863</v>
      </c>
      <c r="H273">
        <v>0</v>
      </c>
      <c r="I273">
        <v>776565.73</v>
      </c>
      <c r="J273">
        <v>7379804.8200000003</v>
      </c>
      <c r="K273">
        <v>6757913.3900000006</v>
      </c>
      <c r="L273">
        <v>289465</v>
      </c>
      <c r="M273">
        <v>0</v>
      </c>
      <c r="N273">
        <v>1327111.8799999999</v>
      </c>
      <c r="O273">
        <v>7738937.0300000003</v>
      </c>
      <c r="P273">
        <v>7063770.2100000009</v>
      </c>
      <c r="Q273">
        <v>292000</v>
      </c>
      <c r="R273">
        <v>0</v>
      </c>
      <c r="S273">
        <v>1926975.23</v>
      </c>
      <c r="T273">
        <v>7772937.0099999998</v>
      </c>
      <c r="U273">
        <v>7150624.0699999994</v>
      </c>
      <c r="V273">
        <v>264292</v>
      </c>
      <c r="W273">
        <v>0</v>
      </c>
      <c r="X273">
        <v>1732118.08</v>
      </c>
      <c r="Y273">
        <v>7127354.9299999997</v>
      </c>
      <c r="Z273">
        <v>7418812.4399999985</v>
      </c>
      <c r="AA273">
        <v>268471</v>
      </c>
      <c r="AB273">
        <v>0</v>
      </c>
      <c r="AC273">
        <v>1197302.6499999999</v>
      </c>
      <c r="AD273">
        <v>7202492.9199999999</v>
      </c>
      <c r="AE273">
        <v>7803100.4800000004</v>
      </c>
      <c r="AF273">
        <v>275399</v>
      </c>
      <c r="AZ273">
        <v>6100</v>
      </c>
      <c r="BA273" t="s">
        <v>469</v>
      </c>
      <c r="BB273">
        <v>6469876.3499999996</v>
      </c>
      <c r="BC273">
        <v>6972013.0299999993</v>
      </c>
      <c r="BD273">
        <v>249144</v>
      </c>
      <c r="BG273">
        <v>6100</v>
      </c>
      <c r="BH273" t="s">
        <v>469</v>
      </c>
      <c r="BI273">
        <v>0</v>
      </c>
      <c r="BJ273">
        <v>337674.46</v>
      </c>
    </row>
    <row r="274" spans="1:62" x14ac:dyDescent="0.25">
      <c r="A274">
        <v>6099</v>
      </c>
      <c r="B274" t="s">
        <v>466</v>
      </c>
      <c r="C274">
        <v>0</v>
      </c>
      <c r="D274">
        <v>1183874.54</v>
      </c>
      <c r="E274">
        <v>6215392.6600000001</v>
      </c>
      <c r="F274">
        <v>6285883.5599999996</v>
      </c>
      <c r="G274">
        <v>257835</v>
      </c>
      <c r="H274">
        <v>0</v>
      </c>
      <c r="I274">
        <v>772730.78</v>
      </c>
      <c r="J274">
        <v>5924081.9400000004</v>
      </c>
      <c r="K274">
        <v>6226803.1399999997</v>
      </c>
      <c r="L274">
        <v>276664</v>
      </c>
      <c r="M274">
        <v>0</v>
      </c>
      <c r="N274">
        <v>604774.97</v>
      </c>
      <c r="O274">
        <v>6344919.4699999997</v>
      </c>
      <c r="P274">
        <v>6569821.7799999993</v>
      </c>
      <c r="Q274">
        <v>278142</v>
      </c>
      <c r="R274">
        <v>0</v>
      </c>
      <c r="S274">
        <v>715895.47</v>
      </c>
      <c r="T274">
        <v>6704136</v>
      </c>
      <c r="U274">
        <v>6628857.9199999999</v>
      </c>
      <c r="V274">
        <v>250710</v>
      </c>
      <c r="W274">
        <v>0</v>
      </c>
      <c r="X274">
        <v>901934.64</v>
      </c>
      <c r="Y274">
        <v>7110366.8099999996</v>
      </c>
      <c r="Z274">
        <v>6877757.0300000012</v>
      </c>
      <c r="AA274">
        <v>265903</v>
      </c>
      <c r="AB274">
        <v>0</v>
      </c>
      <c r="AC274">
        <v>821169.12</v>
      </c>
      <c r="AD274">
        <v>7256159.1200000001</v>
      </c>
      <c r="AE274">
        <v>7335691.75</v>
      </c>
      <c r="AF274">
        <v>277020</v>
      </c>
      <c r="AZ274">
        <v>6101</v>
      </c>
      <c r="BA274" t="s">
        <v>470</v>
      </c>
      <c r="BB274">
        <v>69639046.530000001</v>
      </c>
      <c r="BC274">
        <v>64877556.949999996</v>
      </c>
      <c r="BD274">
        <v>2350017</v>
      </c>
      <c r="BG274">
        <v>6101</v>
      </c>
      <c r="BH274" t="s">
        <v>470</v>
      </c>
      <c r="BI274">
        <v>0</v>
      </c>
      <c r="BJ274">
        <v>8010467.75</v>
      </c>
    </row>
    <row r="275" spans="1:62" x14ac:dyDescent="0.25">
      <c r="A275">
        <v>6097</v>
      </c>
      <c r="B275" t="s">
        <v>467</v>
      </c>
      <c r="C275">
        <v>0</v>
      </c>
      <c r="D275">
        <v>60977.51</v>
      </c>
      <c r="E275">
        <v>2503630.77</v>
      </c>
      <c r="F275">
        <v>2629406.5599999996</v>
      </c>
      <c r="G275">
        <v>97571</v>
      </c>
      <c r="H275">
        <v>0</v>
      </c>
      <c r="I275">
        <v>-340596.44</v>
      </c>
      <c r="J275">
        <v>2386098.16</v>
      </c>
      <c r="K275">
        <v>2747204.49</v>
      </c>
      <c r="L275">
        <v>103857</v>
      </c>
      <c r="M275">
        <v>0</v>
      </c>
      <c r="N275">
        <v>-197483.7</v>
      </c>
      <c r="O275">
        <v>2747698.69</v>
      </c>
      <c r="P275">
        <v>2511347.56</v>
      </c>
      <c r="Q275">
        <v>105573</v>
      </c>
      <c r="R275">
        <v>0</v>
      </c>
      <c r="S275">
        <v>107716.41</v>
      </c>
      <c r="T275">
        <v>2872313.2</v>
      </c>
      <c r="U275">
        <v>2588950.2399999993</v>
      </c>
      <c r="V275">
        <v>90297</v>
      </c>
      <c r="W275">
        <v>0</v>
      </c>
      <c r="X275">
        <v>157789.43</v>
      </c>
      <c r="Y275">
        <v>2724424.85</v>
      </c>
      <c r="Z275">
        <v>2692239.9000000004</v>
      </c>
      <c r="AA275">
        <v>91025</v>
      </c>
      <c r="AB275">
        <v>0</v>
      </c>
      <c r="AC275">
        <v>175538.39</v>
      </c>
      <c r="AD275">
        <v>2731833.16</v>
      </c>
      <c r="AE275">
        <v>2718601.43</v>
      </c>
      <c r="AF275">
        <v>94720</v>
      </c>
      <c r="AZ275">
        <v>6094</v>
      </c>
      <c r="BA275" t="s">
        <v>471</v>
      </c>
      <c r="BB275">
        <v>5871726.2800000003</v>
      </c>
      <c r="BC275">
        <v>6044964</v>
      </c>
      <c r="BD275">
        <v>199903</v>
      </c>
      <c r="BG275">
        <v>6094</v>
      </c>
      <c r="BH275" t="s">
        <v>471</v>
      </c>
      <c r="BI275">
        <v>0</v>
      </c>
      <c r="BJ275">
        <v>219776.61</v>
      </c>
    </row>
    <row r="276" spans="1:62" x14ac:dyDescent="0.25">
      <c r="A276">
        <v>6098</v>
      </c>
      <c r="B276" t="s">
        <v>468</v>
      </c>
      <c r="C276">
        <v>0</v>
      </c>
      <c r="D276">
        <v>1327318.1599999999</v>
      </c>
      <c r="E276">
        <v>14855543.27</v>
      </c>
      <c r="F276">
        <v>15044643.49</v>
      </c>
      <c r="G276">
        <v>601832</v>
      </c>
      <c r="H276">
        <v>0</v>
      </c>
      <c r="I276">
        <v>-496231.43</v>
      </c>
      <c r="J276">
        <v>13637196.91</v>
      </c>
      <c r="K276">
        <v>15494073.08</v>
      </c>
      <c r="L276">
        <v>690681</v>
      </c>
      <c r="M276">
        <v>0</v>
      </c>
      <c r="N276">
        <v>-1396935.73</v>
      </c>
      <c r="O276">
        <v>14584157.24</v>
      </c>
      <c r="P276">
        <v>15350435.75</v>
      </c>
      <c r="Q276">
        <v>689460</v>
      </c>
      <c r="R276">
        <v>0</v>
      </c>
      <c r="S276">
        <v>-1936179.43</v>
      </c>
      <c r="T276">
        <v>14845275.75</v>
      </c>
      <c r="U276">
        <v>15585976.550000001</v>
      </c>
      <c r="V276">
        <v>628985</v>
      </c>
      <c r="W276">
        <v>0</v>
      </c>
      <c r="X276">
        <v>-1320655.24</v>
      </c>
      <c r="Y276">
        <v>15307866.189999999</v>
      </c>
      <c r="Z276">
        <v>14623885.51</v>
      </c>
      <c r="AA276">
        <v>606720</v>
      </c>
      <c r="AB276">
        <v>0</v>
      </c>
      <c r="AC276">
        <v>-333732.13</v>
      </c>
      <c r="AD276">
        <v>16117751.34</v>
      </c>
      <c r="AE276">
        <v>14953085.9</v>
      </c>
      <c r="AF276">
        <v>626763</v>
      </c>
      <c r="AZ276">
        <v>6096</v>
      </c>
      <c r="BA276" t="s">
        <v>472</v>
      </c>
      <c r="BB276">
        <v>6722700.3200000003</v>
      </c>
      <c r="BC276">
        <v>6515896.75</v>
      </c>
      <c r="BD276">
        <v>213619</v>
      </c>
      <c r="BG276">
        <v>6096</v>
      </c>
      <c r="BH276" t="s">
        <v>472</v>
      </c>
      <c r="BI276">
        <v>0</v>
      </c>
      <c r="BJ276">
        <v>1076902.33</v>
      </c>
    </row>
    <row r="277" spans="1:62" x14ac:dyDescent="0.25">
      <c r="A277">
        <v>6100</v>
      </c>
      <c r="B277" t="s">
        <v>469</v>
      </c>
      <c r="C277">
        <v>0</v>
      </c>
      <c r="D277">
        <v>562201.51</v>
      </c>
      <c r="E277">
        <v>6126119.75</v>
      </c>
      <c r="F277">
        <v>5773208.1699999999</v>
      </c>
      <c r="G277">
        <v>256218</v>
      </c>
      <c r="H277">
        <v>0</v>
      </c>
      <c r="I277">
        <v>853354.51</v>
      </c>
      <c r="J277">
        <v>6253826.1399999997</v>
      </c>
      <c r="K277">
        <v>5962673.1399999987</v>
      </c>
      <c r="L277">
        <v>275156</v>
      </c>
      <c r="M277">
        <v>0</v>
      </c>
      <c r="N277">
        <v>1211396.78</v>
      </c>
      <c r="O277">
        <v>6471564.4400000004</v>
      </c>
      <c r="P277">
        <v>6098932</v>
      </c>
      <c r="Q277">
        <v>278181</v>
      </c>
      <c r="R277">
        <v>0</v>
      </c>
      <c r="S277">
        <v>1708556.81</v>
      </c>
      <c r="T277">
        <v>6901982.2800000003</v>
      </c>
      <c r="U277">
        <v>6335586.8100000005</v>
      </c>
      <c r="V277">
        <v>246788</v>
      </c>
      <c r="W277">
        <v>0</v>
      </c>
      <c r="X277">
        <v>1447934.86</v>
      </c>
      <c r="Y277">
        <v>6415243.0300000003</v>
      </c>
      <c r="Z277">
        <v>6654286.1100000003</v>
      </c>
      <c r="AA277">
        <v>249144</v>
      </c>
      <c r="AB277">
        <v>0</v>
      </c>
      <c r="AC277">
        <v>968641.43</v>
      </c>
      <c r="AD277">
        <v>6469876.3499999996</v>
      </c>
      <c r="AE277">
        <v>6972013.0299999993</v>
      </c>
      <c r="AF277">
        <v>255511</v>
      </c>
      <c r="AZ277">
        <v>6102</v>
      </c>
      <c r="BA277" t="s">
        <v>473</v>
      </c>
      <c r="BB277">
        <v>21018781.579999998</v>
      </c>
      <c r="BC277">
        <v>21207553.899999999</v>
      </c>
      <c r="BD277">
        <v>781621</v>
      </c>
      <c r="BG277">
        <v>6102</v>
      </c>
      <c r="BH277" t="s">
        <v>473</v>
      </c>
      <c r="BI277">
        <v>80428.070000000007</v>
      </c>
      <c r="BJ277">
        <v>2352915.63</v>
      </c>
    </row>
    <row r="278" spans="1:62" x14ac:dyDescent="0.25">
      <c r="A278">
        <v>6101</v>
      </c>
      <c r="B278" t="s">
        <v>470</v>
      </c>
      <c r="C278">
        <v>0</v>
      </c>
      <c r="D278">
        <v>-7710510.9500000002</v>
      </c>
      <c r="E278">
        <v>56171967.439999998</v>
      </c>
      <c r="F278">
        <v>58480172.569999993</v>
      </c>
      <c r="G278">
        <v>2011213</v>
      </c>
      <c r="H278">
        <v>0</v>
      </c>
      <c r="I278">
        <v>-10435792.109999999</v>
      </c>
      <c r="J278">
        <v>57067370.490000002</v>
      </c>
      <c r="K278">
        <v>59337620.699999996</v>
      </c>
      <c r="L278">
        <v>2296973</v>
      </c>
      <c r="M278">
        <v>0</v>
      </c>
      <c r="N278">
        <v>-9160057.3900000006</v>
      </c>
      <c r="O278">
        <v>61900987.329999998</v>
      </c>
      <c r="P278">
        <v>59839315.18</v>
      </c>
      <c r="Q278">
        <v>2367103</v>
      </c>
      <c r="R278">
        <v>0</v>
      </c>
      <c r="S278">
        <v>-3829640.79</v>
      </c>
      <c r="T278">
        <v>65765451.170000002</v>
      </c>
      <c r="U278">
        <v>60520570.45000001</v>
      </c>
      <c r="V278">
        <v>2249929</v>
      </c>
      <c r="W278">
        <v>0</v>
      </c>
      <c r="X278">
        <v>-486292.44</v>
      </c>
      <c r="Y278">
        <v>64789890.020000003</v>
      </c>
      <c r="Z278">
        <v>61763775.509999998</v>
      </c>
      <c r="AA278">
        <v>2350017</v>
      </c>
      <c r="AB278">
        <v>0</v>
      </c>
      <c r="AC278">
        <v>4254337.17</v>
      </c>
      <c r="AD278">
        <v>69639046.530000001</v>
      </c>
      <c r="AE278">
        <v>64877556.949999996</v>
      </c>
      <c r="AF278">
        <v>2508266</v>
      </c>
      <c r="AZ278">
        <v>6120</v>
      </c>
      <c r="BA278" t="s">
        <v>474</v>
      </c>
      <c r="BB278">
        <v>13204992.08</v>
      </c>
      <c r="BC278">
        <v>13152245.130000003</v>
      </c>
      <c r="BD278">
        <v>469227</v>
      </c>
      <c r="BG278">
        <v>6120</v>
      </c>
      <c r="BH278" t="s">
        <v>474</v>
      </c>
      <c r="BI278">
        <v>0</v>
      </c>
      <c r="BJ278">
        <v>2293857.6800000002</v>
      </c>
    </row>
    <row r="279" spans="1:62" x14ac:dyDescent="0.25">
      <c r="A279">
        <v>6094</v>
      </c>
      <c r="B279" t="s">
        <v>471</v>
      </c>
      <c r="C279">
        <v>0</v>
      </c>
      <c r="D279">
        <v>153336.04999999999</v>
      </c>
      <c r="E279">
        <v>5487638.0599999996</v>
      </c>
      <c r="F279">
        <v>5253253.1200000001</v>
      </c>
      <c r="G279">
        <v>202817</v>
      </c>
      <c r="H279">
        <v>0</v>
      </c>
      <c r="I279">
        <v>346942.78</v>
      </c>
      <c r="J279">
        <v>5392578.4400000004</v>
      </c>
      <c r="K279">
        <v>5155275.8199999994</v>
      </c>
      <c r="L279">
        <v>218424</v>
      </c>
      <c r="M279">
        <v>0</v>
      </c>
      <c r="N279">
        <v>613730.06999999995</v>
      </c>
      <c r="O279">
        <v>5618736.3399999999</v>
      </c>
      <c r="P279">
        <v>5262325.0199999996</v>
      </c>
      <c r="Q279">
        <v>222470</v>
      </c>
      <c r="R279">
        <v>0</v>
      </c>
      <c r="S279">
        <v>829903.44</v>
      </c>
      <c r="T279">
        <v>5708345.6699999999</v>
      </c>
      <c r="U279">
        <v>5438576.1099999994</v>
      </c>
      <c r="V279">
        <v>199534</v>
      </c>
      <c r="W279">
        <v>0</v>
      </c>
      <c r="X279">
        <v>732606.96</v>
      </c>
      <c r="Y279">
        <v>5566289.1299999999</v>
      </c>
      <c r="Z279">
        <v>5659873.6600000001</v>
      </c>
      <c r="AA279">
        <v>199903</v>
      </c>
      <c r="AB279">
        <v>0</v>
      </c>
      <c r="AC279">
        <v>502905.62</v>
      </c>
      <c r="AD279">
        <v>5871726.2800000003</v>
      </c>
      <c r="AE279">
        <v>6044964</v>
      </c>
      <c r="AF279">
        <v>212810</v>
      </c>
      <c r="AZ279">
        <v>6138</v>
      </c>
      <c r="BA279" t="s">
        <v>475</v>
      </c>
      <c r="BB279">
        <v>3923976.2</v>
      </c>
      <c r="BC279">
        <v>4337281.1199999992</v>
      </c>
      <c r="BD279">
        <v>154723</v>
      </c>
      <c r="BG279">
        <v>6138</v>
      </c>
      <c r="BH279" t="s">
        <v>475</v>
      </c>
      <c r="BI279">
        <v>27087.81</v>
      </c>
      <c r="BJ279">
        <v>372499.05</v>
      </c>
    </row>
    <row r="280" spans="1:62" x14ac:dyDescent="0.25">
      <c r="A280">
        <v>6096</v>
      </c>
      <c r="B280" t="s">
        <v>472</v>
      </c>
      <c r="C280">
        <v>0</v>
      </c>
      <c r="D280">
        <v>-117020.51</v>
      </c>
      <c r="E280">
        <v>6053719.3799999999</v>
      </c>
      <c r="F280">
        <v>6223094.4199999981</v>
      </c>
      <c r="G280">
        <v>215899</v>
      </c>
      <c r="H280">
        <v>0</v>
      </c>
      <c r="I280">
        <v>-404415.89</v>
      </c>
      <c r="J280">
        <v>6001468.9900000002</v>
      </c>
      <c r="K280">
        <v>6229058.5700000003</v>
      </c>
      <c r="L280">
        <v>233982</v>
      </c>
      <c r="M280">
        <v>0</v>
      </c>
      <c r="N280">
        <v>-260443.2</v>
      </c>
      <c r="O280">
        <v>6485012.3700000001</v>
      </c>
      <c r="P280">
        <v>6360148.6399999997</v>
      </c>
      <c r="Q280">
        <v>235946</v>
      </c>
      <c r="R280">
        <v>0</v>
      </c>
      <c r="S280">
        <v>407544.37</v>
      </c>
      <c r="T280">
        <v>7098705.3899999997</v>
      </c>
      <c r="U280">
        <v>6345935.9000000004</v>
      </c>
      <c r="V280">
        <v>209787</v>
      </c>
      <c r="W280">
        <v>0</v>
      </c>
      <c r="X280">
        <v>604971.84</v>
      </c>
      <c r="Y280">
        <v>6568380.1900000004</v>
      </c>
      <c r="Z280">
        <v>6418985.0300000003</v>
      </c>
      <c r="AA280">
        <v>213619</v>
      </c>
      <c r="AB280">
        <v>0</v>
      </c>
      <c r="AC280">
        <v>802891.95</v>
      </c>
      <c r="AD280">
        <v>6722700.3200000003</v>
      </c>
      <c r="AE280">
        <v>6515896.75</v>
      </c>
      <c r="AF280">
        <v>219998</v>
      </c>
      <c r="AZ280">
        <v>5751</v>
      </c>
      <c r="BA280" t="s">
        <v>476</v>
      </c>
      <c r="BB280">
        <v>6357912.3499999996</v>
      </c>
      <c r="BC280">
        <v>6728674.2700000005</v>
      </c>
      <c r="BD280">
        <v>242506</v>
      </c>
      <c r="BG280">
        <v>5751</v>
      </c>
      <c r="BH280" t="s">
        <v>476</v>
      </c>
      <c r="BI280">
        <v>0</v>
      </c>
      <c r="BJ280">
        <v>1593752.79</v>
      </c>
    </row>
    <row r="281" spans="1:62" x14ac:dyDescent="0.25">
      <c r="A281">
        <v>6102</v>
      </c>
      <c r="B281" t="s">
        <v>473</v>
      </c>
      <c r="C281">
        <v>0</v>
      </c>
      <c r="D281">
        <v>914501.14</v>
      </c>
      <c r="E281">
        <v>17846877.379999999</v>
      </c>
      <c r="F281">
        <v>17543637.43</v>
      </c>
      <c r="G281">
        <v>707167</v>
      </c>
      <c r="H281">
        <v>0</v>
      </c>
      <c r="I281">
        <v>1099840.57</v>
      </c>
      <c r="J281">
        <v>17635118.190000001</v>
      </c>
      <c r="K281">
        <v>17333536.23</v>
      </c>
      <c r="L281">
        <v>786034</v>
      </c>
      <c r="M281">
        <v>0</v>
      </c>
      <c r="N281">
        <v>2233301.85</v>
      </c>
      <c r="O281">
        <v>19514108.890000001</v>
      </c>
      <c r="P281">
        <v>18351721.550000001</v>
      </c>
      <c r="Q281">
        <v>810639</v>
      </c>
      <c r="R281">
        <v>23869.18</v>
      </c>
      <c r="S281">
        <v>2741798.26</v>
      </c>
      <c r="T281">
        <v>19912703.010000002</v>
      </c>
      <c r="U281">
        <v>19279338.919999998</v>
      </c>
      <c r="V281">
        <v>755803</v>
      </c>
      <c r="W281">
        <v>70314.679999999993</v>
      </c>
      <c r="X281">
        <v>3227232.73</v>
      </c>
      <c r="Y281">
        <v>20379910.079999998</v>
      </c>
      <c r="Z281">
        <v>19765615.330000002</v>
      </c>
      <c r="AA281">
        <v>781621</v>
      </c>
      <c r="AB281">
        <v>80428.070000000007</v>
      </c>
      <c r="AC281">
        <v>2971449.16</v>
      </c>
      <c r="AD281">
        <v>21018781.579999998</v>
      </c>
      <c r="AE281">
        <v>21207553.899999999</v>
      </c>
      <c r="AF281">
        <v>823252</v>
      </c>
      <c r="AZ281">
        <v>6165</v>
      </c>
      <c r="BA281" t="s">
        <v>477</v>
      </c>
      <c r="BB281">
        <v>2555170.44</v>
      </c>
      <c r="BC281">
        <v>2484474.3400000003</v>
      </c>
      <c r="BD281">
        <v>72493</v>
      </c>
      <c r="BG281">
        <v>6165</v>
      </c>
      <c r="BH281" t="s">
        <v>477</v>
      </c>
      <c r="BI281">
        <v>0</v>
      </c>
      <c r="BJ281">
        <v>491875.59</v>
      </c>
    </row>
    <row r="282" spans="1:62" x14ac:dyDescent="0.25">
      <c r="A282">
        <v>6120</v>
      </c>
      <c r="B282" t="s">
        <v>474</v>
      </c>
      <c r="C282">
        <v>0</v>
      </c>
      <c r="D282">
        <v>976622.04</v>
      </c>
      <c r="E282">
        <v>11117603.800000001</v>
      </c>
      <c r="F282">
        <v>11092839.340000002</v>
      </c>
      <c r="G282">
        <v>447173</v>
      </c>
      <c r="H282">
        <v>0</v>
      </c>
      <c r="I282">
        <v>1303735.1200000001</v>
      </c>
      <c r="J282">
        <v>11321913.32</v>
      </c>
      <c r="K282">
        <v>10995304.5</v>
      </c>
      <c r="L282">
        <v>491706</v>
      </c>
      <c r="M282">
        <v>0</v>
      </c>
      <c r="N282">
        <v>1754062.39</v>
      </c>
      <c r="O282">
        <v>12068149.210000001</v>
      </c>
      <c r="P282">
        <v>11521966.780000001</v>
      </c>
      <c r="Q282">
        <v>491412</v>
      </c>
      <c r="R282">
        <v>0</v>
      </c>
      <c r="S282">
        <v>2543820.4</v>
      </c>
      <c r="T282">
        <v>12409827.58</v>
      </c>
      <c r="U282">
        <v>11609501.310000002</v>
      </c>
      <c r="V282">
        <v>447837</v>
      </c>
      <c r="W282">
        <v>0</v>
      </c>
      <c r="X282">
        <v>2757211.24</v>
      </c>
      <c r="Y282">
        <v>12489991.390000001</v>
      </c>
      <c r="Z282">
        <v>12360033.9</v>
      </c>
      <c r="AA282">
        <v>469227</v>
      </c>
      <c r="AB282">
        <v>0</v>
      </c>
      <c r="AC282">
        <v>2752749.61</v>
      </c>
      <c r="AD282">
        <v>13204992.08</v>
      </c>
      <c r="AE282">
        <v>13152245.130000003</v>
      </c>
      <c r="AF282">
        <v>479560</v>
      </c>
      <c r="AZ282">
        <v>6175</v>
      </c>
      <c r="BA282" t="s">
        <v>478</v>
      </c>
      <c r="BB282">
        <v>8010011.0499999998</v>
      </c>
      <c r="BC282">
        <v>7227512.6500000004</v>
      </c>
      <c r="BD282">
        <v>254712</v>
      </c>
      <c r="BG282">
        <v>6175</v>
      </c>
      <c r="BH282" t="s">
        <v>478</v>
      </c>
      <c r="BI282">
        <v>0</v>
      </c>
      <c r="BJ282">
        <v>1509682.92</v>
      </c>
    </row>
    <row r="283" spans="1:62" x14ac:dyDescent="0.25">
      <c r="A283">
        <v>6138</v>
      </c>
      <c r="B283" t="s">
        <v>475</v>
      </c>
      <c r="C283">
        <v>0</v>
      </c>
      <c r="D283">
        <v>619444.44999999995</v>
      </c>
      <c r="E283">
        <v>4159820.47</v>
      </c>
      <c r="F283">
        <v>4025919.18</v>
      </c>
      <c r="G283">
        <v>164655</v>
      </c>
      <c r="H283">
        <v>0</v>
      </c>
      <c r="I283">
        <v>780984.07</v>
      </c>
      <c r="J283">
        <v>4082550.98</v>
      </c>
      <c r="K283">
        <v>3887895.6599999997</v>
      </c>
      <c r="L283">
        <v>175015</v>
      </c>
      <c r="M283">
        <v>0</v>
      </c>
      <c r="N283">
        <v>1348545.26</v>
      </c>
      <c r="O283">
        <v>4435548.71</v>
      </c>
      <c r="P283">
        <v>3824385.0999999996</v>
      </c>
      <c r="Q283">
        <v>176060</v>
      </c>
      <c r="R283">
        <v>0</v>
      </c>
      <c r="S283">
        <v>1137402.1100000001</v>
      </c>
      <c r="T283">
        <v>4102699.03</v>
      </c>
      <c r="U283">
        <v>4289836.2699999996</v>
      </c>
      <c r="V283">
        <v>156677</v>
      </c>
      <c r="W283">
        <v>0</v>
      </c>
      <c r="X283">
        <v>780545.1</v>
      </c>
      <c r="Y283">
        <v>4043272.8</v>
      </c>
      <c r="Z283">
        <v>4384542.8499999996</v>
      </c>
      <c r="AA283">
        <v>154723</v>
      </c>
      <c r="AB283">
        <v>19374.150000000001</v>
      </c>
      <c r="AC283">
        <v>332382.86</v>
      </c>
      <c r="AD283">
        <v>3923976.2</v>
      </c>
      <c r="AE283">
        <v>4337281.1199999992</v>
      </c>
      <c r="AF283">
        <v>159107</v>
      </c>
      <c r="AZ283">
        <v>6219</v>
      </c>
      <c r="BA283" t="s">
        <v>479</v>
      </c>
      <c r="BB283">
        <v>23362252.899999999</v>
      </c>
      <c r="BC283">
        <v>23171082.600000001</v>
      </c>
      <c r="BD283">
        <v>886415</v>
      </c>
      <c r="BG283">
        <v>6219</v>
      </c>
      <c r="BH283" t="s">
        <v>479</v>
      </c>
      <c r="BI283">
        <v>0</v>
      </c>
      <c r="BJ283">
        <v>6727355.29</v>
      </c>
    </row>
    <row r="284" spans="1:62" x14ac:dyDescent="0.25">
      <c r="A284">
        <v>5751</v>
      </c>
      <c r="B284" t="s">
        <v>476</v>
      </c>
      <c r="C284">
        <v>0</v>
      </c>
      <c r="D284">
        <v>659289.31000000006</v>
      </c>
      <c r="E284">
        <v>6761889.5099999998</v>
      </c>
      <c r="F284">
        <v>5800223.0099999998</v>
      </c>
      <c r="G284">
        <v>238867</v>
      </c>
      <c r="H284">
        <v>0</v>
      </c>
      <c r="I284">
        <v>1340211.22</v>
      </c>
      <c r="J284">
        <v>6456333.5800000001</v>
      </c>
      <c r="K284">
        <v>5656472.46</v>
      </c>
      <c r="L284">
        <v>278690</v>
      </c>
      <c r="M284">
        <v>0</v>
      </c>
      <c r="N284">
        <v>2276413.96</v>
      </c>
      <c r="O284">
        <v>6825816.3700000001</v>
      </c>
      <c r="P284">
        <v>5981875.7999999998</v>
      </c>
      <c r="Q284">
        <v>280034</v>
      </c>
      <c r="R284">
        <v>0</v>
      </c>
      <c r="S284">
        <v>2748878.05</v>
      </c>
      <c r="T284">
        <v>6578489.4100000001</v>
      </c>
      <c r="U284">
        <v>6111280.5</v>
      </c>
      <c r="V284">
        <v>251551</v>
      </c>
      <c r="W284">
        <v>0</v>
      </c>
      <c r="X284">
        <v>2481615.85</v>
      </c>
      <c r="Y284">
        <v>6105908.7800000003</v>
      </c>
      <c r="Z284">
        <v>6356395.4299999997</v>
      </c>
      <c r="AA284">
        <v>242506</v>
      </c>
      <c r="AB284">
        <v>0</v>
      </c>
      <c r="AC284">
        <v>2113436.1</v>
      </c>
      <c r="AD284">
        <v>6357912.3499999996</v>
      </c>
      <c r="AE284">
        <v>6728674.2700000005</v>
      </c>
      <c r="AF284">
        <v>255660</v>
      </c>
      <c r="AZ284">
        <v>6246</v>
      </c>
      <c r="BA284" t="s">
        <v>480</v>
      </c>
      <c r="BB284">
        <v>1756998.87</v>
      </c>
      <c r="BC284">
        <v>1838596.19</v>
      </c>
      <c r="BD284">
        <v>76037</v>
      </c>
      <c r="BG284">
        <v>6246</v>
      </c>
      <c r="BH284" t="s">
        <v>480</v>
      </c>
      <c r="BI284">
        <v>0</v>
      </c>
      <c r="BJ284">
        <v>945095.9</v>
      </c>
    </row>
    <row r="285" spans="1:62" x14ac:dyDescent="0.25">
      <c r="A285">
        <v>6165</v>
      </c>
      <c r="B285" t="s">
        <v>477</v>
      </c>
      <c r="C285">
        <v>12802.43</v>
      </c>
      <c r="D285">
        <v>248726.59</v>
      </c>
      <c r="E285">
        <v>2251513.31</v>
      </c>
      <c r="F285">
        <v>2407368.2899999996</v>
      </c>
      <c r="G285">
        <v>77648</v>
      </c>
      <c r="H285">
        <v>14765.7</v>
      </c>
      <c r="I285">
        <v>129229.68</v>
      </c>
      <c r="J285">
        <v>2381940.64</v>
      </c>
      <c r="K285">
        <v>2470000.13</v>
      </c>
      <c r="L285">
        <v>84897</v>
      </c>
      <c r="M285">
        <v>0</v>
      </c>
      <c r="N285">
        <v>158703.16</v>
      </c>
      <c r="O285">
        <v>2476837.6</v>
      </c>
      <c r="P285">
        <v>2461782.13</v>
      </c>
      <c r="Q285">
        <v>84934</v>
      </c>
      <c r="R285">
        <v>0</v>
      </c>
      <c r="S285">
        <v>199727.45</v>
      </c>
      <c r="T285">
        <v>2627532.66</v>
      </c>
      <c r="U285">
        <v>2598065.9899999998</v>
      </c>
      <c r="V285">
        <v>73954</v>
      </c>
      <c r="W285">
        <v>0</v>
      </c>
      <c r="X285">
        <v>257562.75</v>
      </c>
      <c r="Y285">
        <v>2589225.2799999998</v>
      </c>
      <c r="Z285">
        <v>2499822.0500000003</v>
      </c>
      <c r="AA285">
        <v>72493</v>
      </c>
      <c r="AB285">
        <v>0</v>
      </c>
      <c r="AC285">
        <v>311961.02</v>
      </c>
      <c r="AD285">
        <v>2555170.44</v>
      </c>
      <c r="AE285">
        <v>2484474.3400000003</v>
      </c>
      <c r="AF285">
        <v>75389</v>
      </c>
      <c r="AZ285">
        <v>6273</v>
      </c>
      <c r="BA285" t="s">
        <v>481</v>
      </c>
      <c r="BB285">
        <v>6058505.9800000004</v>
      </c>
      <c r="BC285">
        <v>6003437.25</v>
      </c>
      <c r="BD285">
        <v>216186</v>
      </c>
      <c r="BG285">
        <v>6273</v>
      </c>
      <c r="BH285" t="s">
        <v>481</v>
      </c>
      <c r="BI285">
        <v>0</v>
      </c>
      <c r="BJ285">
        <v>1240080.6299999999</v>
      </c>
    </row>
    <row r="286" spans="1:62" x14ac:dyDescent="0.25">
      <c r="A286">
        <v>6175</v>
      </c>
      <c r="B286" t="s">
        <v>478</v>
      </c>
      <c r="C286">
        <v>0</v>
      </c>
      <c r="D286">
        <v>-518010.43</v>
      </c>
      <c r="E286">
        <v>6713019.4000000004</v>
      </c>
      <c r="F286">
        <v>6894720.46</v>
      </c>
      <c r="G286">
        <v>265962</v>
      </c>
      <c r="H286">
        <v>0</v>
      </c>
      <c r="I286">
        <v>-687722.45</v>
      </c>
      <c r="J286">
        <v>6604069.4800000004</v>
      </c>
      <c r="K286">
        <v>6765291.1200000001</v>
      </c>
      <c r="L286">
        <v>286458</v>
      </c>
      <c r="M286">
        <v>0</v>
      </c>
      <c r="N286">
        <v>-987504.37</v>
      </c>
      <c r="O286">
        <v>6951286.3200000003</v>
      </c>
      <c r="P286">
        <v>7091661.419999999</v>
      </c>
      <c r="Q286">
        <v>292228</v>
      </c>
      <c r="R286">
        <v>0</v>
      </c>
      <c r="S286">
        <v>-694266.62</v>
      </c>
      <c r="T286">
        <v>7854905.1200000001</v>
      </c>
      <c r="U286">
        <v>7141382.2700000005</v>
      </c>
      <c r="V286">
        <v>256275</v>
      </c>
      <c r="W286">
        <v>0</v>
      </c>
      <c r="X286">
        <v>299685.26</v>
      </c>
      <c r="Y286">
        <v>7686267.7400000002</v>
      </c>
      <c r="Z286">
        <v>7286656.1900000004</v>
      </c>
      <c r="AA286">
        <v>254712</v>
      </c>
      <c r="AB286">
        <v>0</v>
      </c>
      <c r="AC286">
        <v>1060274.42</v>
      </c>
      <c r="AD286">
        <v>8010011.0499999998</v>
      </c>
      <c r="AE286">
        <v>7227512.6500000004</v>
      </c>
      <c r="AF286">
        <v>265560</v>
      </c>
      <c r="AZ286">
        <v>6408</v>
      </c>
      <c r="BA286" t="s">
        <v>482</v>
      </c>
      <c r="BB286">
        <v>8599627.6799999997</v>
      </c>
      <c r="BC286">
        <v>8588695.7699999996</v>
      </c>
      <c r="BD286">
        <v>316034</v>
      </c>
      <c r="BG286">
        <v>6408</v>
      </c>
      <c r="BH286" t="s">
        <v>482</v>
      </c>
      <c r="BI286">
        <v>29168.61</v>
      </c>
      <c r="BJ286">
        <v>1728142.58</v>
      </c>
    </row>
    <row r="287" spans="1:62" x14ac:dyDescent="0.25">
      <c r="A287">
        <v>6219</v>
      </c>
      <c r="B287" t="s">
        <v>479</v>
      </c>
      <c r="C287">
        <v>0</v>
      </c>
      <c r="D287">
        <v>1356012.34</v>
      </c>
      <c r="E287">
        <v>21191851.530000001</v>
      </c>
      <c r="F287">
        <v>21102978.629999999</v>
      </c>
      <c r="G287">
        <v>747876</v>
      </c>
      <c r="H287">
        <v>0</v>
      </c>
      <c r="I287">
        <v>1924391.71</v>
      </c>
      <c r="J287">
        <v>20849171.039999999</v>
      </c>
      <c r="K287">
        <v>20167731.540000003</v>
      </c>
      <c r="L287">
        <v>858542</v>
      </c>
      <c r="M287">
        <v>0</v>
      </c>
      <c r="N287">
        <v>4414626.55</v>
      </c>
      <c r="O287">
        <v>23192412.100000001</v>
      </c>
      <c r="P287">
        <v>20569171.119999997</v>
      </c>
      <c r="Q287">
        <v>900299</v>
      </c>
      <c r="R287">
        <v>0</v>
      </c>
      <c r="S287">
        <v>6619303.4000000004</v>
      </c>
      <c r="T287">
        <v>22975171.18</v>
      </c>
      <c r="U287">
        <v>20838618.189999998</v>
      </c>
      <c r="V287">
        <v>828303</v>
      </c>
      <c r="W287">
        <v>0</v>
      </c>
      <c r="X287">
        <v>6964637.4199999999</v>
      </c>
      <c r="Y287">
        <v>22596053.09</v>
      </c>
      <c r="Z287">
        <v>21839117.730000004</v>
      </c>
      <c r="AA287">
        <v>886415</v>
      </c>
      <c r="AB287">
        <v>0</v>
      </c>
      <c r="AC287">
        <v>6781343.8499999996</v>
      </c>
      <c r="AD287">
        <v>23362252.899999999</v>
      </c>
      <c r="AE287">
        <v>23171082.600000001</v>
      </c>
      <c r="AF287">
        <v>917471</v>
      </c>
      <c r="AZ287">
        <v>6453</v>
      </c>
      <c r="BA287" t="s">
        <v>483</v>
      </c>
      <c r="BB287">
        <v>6671753.7599999998</v>
      </c>
      <c r="BC287">
        <v>6603125.290000001</v>
      </c>
      <c r="BD287">
        <v>227171</v>
      </c>
      <c r="BG287">
        <v>6453</v>
      </c>
      <c r="BH287" t="s">
        <v>483</v>
      </c>
      <c r="BI287">
        <v>0</v>
      </c>
      <c r="BJ287">
        <v>1688280.47</v>
      </c>
    </row>
    <row r="288" spans="1:62" x14ac:dyDescent="0.25">
      <c r="A288">
        <v>6246</v>
      </c>
      <c r="B288" t="s">
        <v>480</v>
      </c>
      <c r="C288">
        <v>0</v>
      </c>
      <c r="D288">
        <v>715150.54</v>
      </c>
      <c r="E288">
        <v>2026399.18</v>
      </c>
      <c r="F288">
        <v>2024959.0599999998</v>
      </c>
      <c r="G288">
        <v>81015</v>
      </c>
      <c r="H288">
        <v>0</v>
      </c>
      <c r="I288">
        <v>627495.88</v>
      </c>
      <c r="J288">
        <v>1907666.53</v>
      </c>
      <c r="K288">
        <v>1995321.19</v>
      </c>
      <c r="L288">
        <v>87408</v>
      </c>
      <c r="M288">
        <v>0</v>
      </c>
      <c r="N288">
        <v>725403.39</v>
      </c>
      <c r="O288">
        <v>2053661.77</v>
      </c>
      <c r="P288">
        <v>1959448.8299999998</v>
      </c>
      <c r="Q288">
        <v>86858</v>
      </c>
      <c r="R288">
        <v>0</v>
      </c>
      <c r="S288">
        <v>996337.71</v>
      </c>
      <c r="T288">
        <v>2000501.87</v>
      </c>
      <c r="U288">
        <v>1729567.55</v>
      </c>
      <c r="V288">
        <v>76708</v>
      </c>
      <c r="W288">
        <v>0</v>
      </c>
      <c r="X288">
        <v>1099842.8999999999</v>
      </c>
      <c r="Y288">
        <v>1845287.31</v>
      </c>
      <c r="Z288">
        <v>1741782.1199999999</v>
      </c>
      <c r="AA288">
        <v>76037</v>
      </c>
      <c r="AB288">
        <v>0</v>
      </c>
      <c r="AC288">
        <v>1005812.72</v>
      </c>
      <c r="AD288">
        <v>1756998.87</v>
      </c>
      <c r="AE288">
        <v>1838596.19</v>
      </c>
      <c r="AF288">
        <v>77628</v>
      </c>
      <c r="AZ288">
        <v>6460</v>
      </c>
      <c r="BA288" t="s">
        <v>484</v>
      </c>
      <c r="BB288">
        <v>7660413.3600000003</v>
      </c>
      <c r="BC288">
        <v>7703495.2699999986</v>
      </c>
      <c r="BD288">
        <v>255865</v>
      </c>
      <c r="BG288">
        <v>6460</v>
      </c>
      <c r="BH288" t="s">
        <v>484</v>
      </c>
      <c r="BI288">
        <v>0</v>
      </c>
      <c r="BJ288">
        <v>369509.01</v>
      </c>
    </row>
    <row r="289" spans="1:62" x14ac:dyDescent="0.25">
      <c r="A289">
        <v>6273</v>
      </c>
      <c r="B289" t="s">
        <v>481</v>
      </c>
      <c r="C289">
        <v>0</v>
      </c>
      <c r="D289">
        <v>1046011.04</v>
      </c>
      <c r="E289">
        <v>5843360.4500000002</v>
      </c>
      <c r="F289">
        <v>5839310.9900000002</v>
      </c>
      <c r="G289">
        <v>206541</v>
      </c>
      <c r="H289">
        <v>0</v>
      </c>
      <c r="I289">
        <v>842766.58</v>
      </c>
      <c r="J289">
        <v>5832392.5499999998</v>
      </c>
      <c r="K289">
        <v>6006141.2400000002</v>
      </c>
      <c r="L289">
        <v>241181</v>
      </c>
      <c r="M289">
        <v>0</v>
      </c>
      <c r="N289">
        <v>885088.49</v>
      </c>
      <c r="O289">
        <v>6164061.7999999998</v>
      </c>
      <c r="P289">
        <v>6042045.7800000003</v>
      </c>
      <c r="Q289">
        <v>241797</v>
      </c>
      <c r="R289">
        <v>0</v>
      </c>
      <c r="S289">
        <v>934948.29</v>
      </c>
      <c r="T289">
        <v>6684183.2699999996</v>
      </c>
      <c r="U289">
        <v>6546960.4100000011</v>
      </c>
      <c r="V289">
        <v>222306</v>
      </c>
      <c r="W289">
        <v>0</v>
      </c>
      <c r="X289">
        <v>889502.08</v>
      </c>
      <c r="Y289">
        <v>6313326.7699999996</v>
      </c>
      <c r="Z289">
        <v>6393381.0099999998</v>
      </c>
      <c r="AA289">
        <v>216186</v>
      </c>
      <c r="AB289">
        <v>0</v>
      </c>
      <c r="AC289">
        <v>865310.37</v>
      </c>
      <c r="AD289">
        <v>6058505.9800000004</v>
      </c>
      <c r="AE289">
        <v>6003437.25</v>
      </c>
      <c r="AF289">
        <v>231034</v>
      </c>
      <c r="AZ289">
        <v>6462</v>
      </c>
      <c r="BA289" t="s">
        <v>485</v>
      </c>
      <c r="BB289">
        <v>2826778.5</v>
      </c>
      <c r="BC289">
        <v>3396045.55</v>
      </c>
      <c r="BD289">
        <v>109846</v>
      </c>
      <c r="BG289">
        <v>6462</v>
      </c>
      <c r="BH289" t="s">
        <v>485</v>
      </c>
      <c r="BI289">
        <v>0</v>
      </c>
      <c r="BJ289">
        <v>34226.080000000002</v>
      </c>
    </row>
    <row r="290" spans="1:62" x14ac:dyDescent="0.25">
      <c r="A290">
        <v>6408</v>
      </c>
      <c r="B290" t="s">
        <v>482</v>
      </c>
      <c r="C290">
        <v>19240.61</v>
      </c>
      <c r="D290">
        <v>1038284.26</v>
      </c>
      <c r="E290">
        <v>7237316.3899999997</v>
      </c>
      <c r="F290">
        <v>7215946.0600000005</v>
      </c>
      <c r="G290">
        <v>287197</v>
      </c>
      <c r="H290">
        <v>23182.560000000001</v>
      </c>
      <c r="I290">
        <v>872912.26</v>
      </c>
      <c r="J290">
        <v>7291469.7800000003</v>
      </c>
      <c r="K290">
        <v>7391367.3200000003</v>
      </c>
      <c r="L290">
        <v>328048</v>
      </c>
      <c r="M290">
        <v>24057.15</v>
      </c>
      <c r="N290">
        <v>1111120.3799999999</v>
      </c>
      <c r="O290">
        <v>8005660.2400000002</v>
      </c>
      <c r="P290">
        <v>7721331.7799999993</v>
      </c>
      <c r="Q290">
        <v>331593</v>
      </c>
      <c r="R290">
        <v>34430.49</v>
      </c>
      <c r="S290">
        <v>1436468.39</v>
      </c>
      <c r="T290">
        <v>8193466.1100000003</v>
      </c>
      <c r="U290">
        <v>7816201.0700000003</v>
      </c>
      <c r="V290">
        <v>313380</v>
      </c>
      <c r="W290">
        <v>29435.05</v>
      </c>
      <c r="X290">
        <v>1348662.69</v>
      </c>
      <c r="Y290">
        <v>8240030.8399999999</v>
      </c>
      <c r="Z290">
        <v>8330437.6300000008</v>
      </c>
      <c r="AA290">
        <v>316034</v>
      </c>
      <c r="AB290">
        <v>30405.02</v>
      </c>
      <c r="AC290">
        <v>1348566.08</v>
      </c>
      <c r="AD290">
        <v>8599627.6799999997</v>
      </c>
      <c r="AE290">
        <v>8588695.7699999996</v>
      </c>
      <c r="AF290">
        <v>334612</v>
      </c>
      <c r="AZ290">
        <v>6471</v>
      </c>
      <c r="BA290" t="s">
        <v>486</v>
      </c>
      <c r="BB290">
        <v>4298651.75</v>
      </c>
      <c r="BC290">
        <v>5092822.5599999996</v>
      </c>
      <c r="BD290">
        <v>183964</v>
      </c>
      <c r="BG290">
        <v>6471</v>
      </c>
      <c r="BH290" t="s">
        <v>486</v>
      </c>
      <c r="BI290">
        <v>0</v>
      </c>
      <c r="BJ290">
        <v>-172277.14</v>
      </c>
    </row>
    <row r="291" spans="1:62" x14ac:dyDescent="0.25">
      <c r="A291">
        <v>6453</v>
      </c>
      <c r="B291" t="s">
        <v>483</v>
      </c>
      <c r="C291">
        <v>0</v>
      </c>
      <c r="D291">
        <v>-55506.68</v>
      </c>
      <c r="E291">
        <v>5307349.3499999996</v>
      </c>
      <c r="F291">
        <v>5539650.540000001</v>
      </c>
      <c r="G291">
        <v>207225</v>
      </c>
      <c r="H291">
        <v>0</v>
      </c>
      <c r="I291">
        <v>-57739.09</v>
      </c>
      <c r="J291">
        <v>5736994.7199999997</v>
      </c>
      <c r="K291">
        <v>5652096.4400000004</v>
      </c>
      <c r="L291">
        <v>230471</v>
      </c>
      <c r="M291">
        <v>0</v>
      </c>
      <c r="N291">
        <v>743604.02</v>
      </c>
      <c r="O291">
        <v>6496919.2999999998</v>
      </c>
      <c r="P291">
        <v>5720563.1300000008</v>
      </c>
      <c r="Q291">
        <v>240511</v>
      </c>
      <c r="R291">
        <v>0</v>
      </c>
      <c r="S291">
        <v>1499487.33</v>
      </c>
      <c r="T291">
        <v>6851844.2999999998</v>
      </c>
      <c r="U291">
        <v>6152852.370000001</v>
      </c>
      <c r="V291">
        <v>222317</v>
      </c>
      <c r="W291">
        <v>0</v>
      </c>
      <c r="X291">
        <v>1911309.12</v>
      </c>
      <c r="Y291">
        <v>6861153.1900000004</v>
      </c>
      <c r="Z291">
        <v>6404817.3400000008</v>
      </c>
      <c r="AA291">
        <v>227171</v>
      </c>
      <c r="AB291">
        <v>0</v>
      </c>
      <c r="AC291">
        <v>1954590.4</v>
      </c>
      <c r="AD291">
        <v>6671753.7599999998</v>
      </c>
      <c r="AE291">
        <v>6603125.290000001</v>
      </c>
      <c r="AF291">
        <v>234588</v>
      </c>
      <c r="AZ291">
        <v>6509</v>
      </c>
      <c r="BA291" t="s">
        <v>487</v>
      </c>
      <c r="BB291">
        <v>4704375.5</v>
      </c>
      <c r="BC291">
        <v>5195386.5999999996</v>
      </c>
      <c r="BD291">
        <v>169970</v>
      </c>
      <c r="BG291">
        <v>6509</v>
      </c>
      <c r="BH291" t="s">
        <v>487</v>
      </c>
      <c r="BI291">
        <v>0</v>
      </c>
      <c r="BJ291">
        <v>274448.05</v>
      </c>
    </row>
    <row r="292" spans="1:62" x14ac:dyDescent="0.25">
      <c r="A292">
        <v>6460</v>
      </c>
      <c r="B292" t="s">
        <v>484</v>
      </c>
      <c r="C292">
        <v>0</v>
      </c>
      <c r="D292">
        <v>338090.8</v>
      </c>
      <c r="E292">
        <v>7271914.2400000002</v>
      </c>
      <c r="F292">
        <v>6815732.9199999999</v>
      </c>
      <c r="G292">
        <v>263375</v>
      </c>
      <c r="H292">
        <v>0</v>
      </c>
      <c r="I292">
        <v>102336.23</v>
      </c>
      <c r="J292">
        <v>7114129.2699999996</v>
      </c>
      <c r="K292">
        <v>7299868.5499999998</v>
      </c>
      <c r="L292">
        <v>285263</v>
      </c>
      <c r="M292">
        <v>0</v>
      </c>
      <c r="N292">
        <v>438102.56</v>
      </c>
      <c r="O292">
        <v>7773365.9900000002</v>
      </c>
      <c r="P292">
        <v>7441571.5999999996</v>
      </c>
      <c r="Q292">
        <v>284824</v>
      </c>
      <c r="R292">
        <v>0</v>
      </c>
      <c r="S292">
        <v>491069.97</v>
      </c>
      <c r="T292">
        <v>7561536.5599999996</v>
      </c>
      <c r="U292">
        <v>7501562.7699999996</v>
      </c>
      <c r="V292">
        <v>255250</v>
      </c>
      <c r="W292">
        <v>0</v>
      </c>
      <c r="X292">
        <v>128499.21</v>
      </c>
      <c r="Y292">
        <v>7464258.0499999998</v>
      </c>
      <c r="Z292">
        <v>7844575.6100000003</v>
      </c>
      <c r="AA292">
        <v>255865</v>
      </c>
      <c r="AB292">
        <v>0</v>
      </c>
      <c r="AC292">
        <v>107307.04</v>
      </c>
      <c r="AD292">
        <v>7660413.3600000003</v>
      </c>
      <c r="AE292">
        <v>7703495.2699999986</v>
      </c>
      <c r="AF292">
        <v>267970</v>
      </c>
      <c r="AZ292">
        <v>6512</v>
      </c>
      <c r="BA292" t="s">
        <v>488</v>
      </c>
      <c r="BB292">
        <v>4084647.4</v>
      </c>
      <c r="BC292">
        <v>4671595.3500000006</v>
      </c>
      <c r="BD292">
        <v>144701</v>
      </c>
      <c r="BG292">
        <v>6512</v>
      </c>
      <c r="BH292" t="s">
        <v>488</v>
      </c>
      <c r="BI292">
        <v>0</v>
      </c>
      <c r="BJ292">
        <v>38495.230000000003</v>
      </c>
    </row>
    <row r="293" spans="1:62" x14ac:dyDescent="0.25">
      <c r="A293">
        <v>6462</v>
      </c>
      <c r="B293" t="s">
        <v>485</v>
      </c>
      <c r="C293">
        <v>350000</v>
      </c>
      <c r="D293">
        <v>38146.339999999997</v>
      </c>
      <c r="E293">
        <v>3055799.61</v>
      </c>
      <c r="F293">
        <v>3229376.19</v>
      </c>
      <c r="G293">
        <v>119869</v>
      </c>
      <c r="H293">
        <v>0</v>
      </c>
      <c r="I293">
        <v>248006.38</v>
      </c>
      <c r="J293">
        <v>3085656.3</v>
      </c>
      <c r="K293">
        <v>3195142.4399999995</v>
      </c>
      <c r="L293">
        <v>126997</v>
      </c>
      <c r="M293">
        <v>0</v>
      </c>
      <c r="N293">
        <v>384603.06</v>
      </c>
      <c r="O293">
        <v>3423366.68</v>
      </c>
      <c r="P293">
        <v>3330030.4200000004</v>
      </c>
      <c r="Q293">
        <v>126091</v>
      </c>
      <c r="R293">
        <v>0</v>
      </c>
      <c r="S293">
        <v>830573.62</v>
      </c>
      <c r="T293">
        <v>3443547.94</v>
      </c>
      <c r="U293">
        <v>2987488.89</v>
      </c>
      <c r="V293">
        <v>111566</v>
      </c>
      <c r="W293">
        <v>0</v>
      </c>
      <c r="X293">
        <v>761752.9</v>
      </c>
      <c r="Y293">
        <v>3199967.8</v>
      </c>
      <c r="Z293">
        <v>3240930.9400000004</v>
      </c>
      <c r="AA293">
        <v>109846</v>
      </c>
      <c r="AB293">
        <v>0</v>
      </c>
      <c r="AC293">
        <v>228878.27</v>
      </c>
      <c r="AD293">
        <v>2826778.5</v>
      </c>
      <c r="AE293">
        <v>3396045.55</v>
      </c>
      <c r="AF293">
        <v>114425</v>
      </c>
      <c r="AZ293">
        <v>6516</v>
      </c>
      <c r="BA293" t="s">
        <v>489</v>
      </c>
      <c r="BB293">
        <v>2010464.76</v>
      </c>
      <c r="BC293">
        <v>1835222.3399999999</v>
      </c>
      <c r="BD293">
        <v>70705</v>
      </c>
      <c r="BG293">
        <v>6516</v>
      </c>
      <c r="BH293" t="s">
        <v>489</v>
      </c>
      <c r="BI293">
        <v>0</v>
      </c>
      <c r="BJ293">
        <v>1963879.18</v>
      </c>
    </row>
    <row r="294" spans="1:62" x14ac:dyDescent="0.25">
      <c r="A294">
        <v>6471</v>
      </c>
      <c r="B294" t="s">
        <v>486</v>
      </c>
      <c r="C294">
        <v>0</v>
      </c>
      <c r="D294">
        <v>1267263.1200000001</v>
      </c>
      <c r="E294">
        <v>4596062.54</v>
      </c>
      <c r="F294">
        <v>4311626.3800000008</v>
      </c>
      <c r="G294">
        <v>180073</v>
      </c>
      <c r="H294">
        <v>0</v>
      </c>
      <c r="I294">
        <v>1205974.78</v>
      </c>
      <c r="J294">
        <v>4334627.33</v>
      </c>
      <c r="K294">
        <v>4407338.57</v>
      </c>
      <c r="L294">
        <v>208112</v>
      </c>
      <c r="M294">
        <v>0</v>
      </c>
      <c r="N294">
        <v>955930.52</v>
      </c>
      <c r="O294">
        <v>4478562.75</v>
      </c>
      <c r="P294">
        <v>4534968.4700000007</v>
      </c>
      <c r="Q294">
        <v>208741</v>
      </c>
      <c r="R294">
        <v>0</v>
      </c>
      <c r="S294">
        <v>929953.61</v>
      </c>
      <c r="T294">
        <v>4735131.2300000004</v>
      </c>
      <c r="U294">
        <v>4694510.84</v>
      </c>
      <c r="V294">
        <v>189938</v>
      </c>
      <c r="W294">
        <v>0</v>
      </c>
      <c r="X294">
        <v>763988.23</v>
      </c>
      <c r="Y294">
        <v>4630096.8499999996</v>
      </c>
      <c r="Z294">
        <v>4839400.71</v>
      </c>
      <c r="AA294">
        <v>183964</v>
      </c>
      <c r="AB294">
        <v>0</v>
      </c>
      <c r="AC294">
        <v>66270.38</v>
      </c>
      <c r="AD294">
        <v>4298651.75</v>
      </c>
      <c r="AE294">
        <v>5092822.5599999996</v>
      </c>
      <c r="AF294">
        <v>188297</v>
      </c>
      <c r="AZ294">
        <v>6534</v>
      </c>
      <c r="BA294" t="s">
        <v>490</v>
      </c>
      <c r="BB294">
        <v>7679177.8600000003</v>
      </c>
      <c r="BC294">
        <v>7846485.3300000001</v>
      </c>
      <c r="BD294">
        <v>280205</v>
      </c>
      <c r="BG294">
        <v>6534</v>
      </c>
      <c r="BH294" t="s">
        <v>490</v>
      </c>
      <c r="BI294">
        <v>0</v>
      </c>
      <c r="BJ294">
        <v>602785.5</v>
      </c>
    </row>
    <row r="295" spans="1:62" x14ac:dyDescent="0.25">
      <c r="A295">
        <v>6509</v>
      </c>
      <c r="B295" t="s">
        <v>487</v>
      </c>
      <c r="C295">
        <v>300000</v>
      </c>
      <c r="D295">
        <v>250446.11</v>
      </c>
      <c r="E295">
        <v>4883919.58</v>
      </c>
      <c r="F295">
        <v>4852756.4800000004</v>
      </c>
      <c r="G295">
        <v>184893</v>
      </c>
      <c r="H295">
        <v>200000</v>
      </c>
      <c r="I295">
        <v>87268.55</v>
      </c>
      <c r="J295">
        <v>4696123.47</v>
      </c>
      <c r="K295">
        <v>4832790.7300000004</v>
      </c>
      <c r="L295">
        <v>198761</v>
      </c>
      <c r="M295">
        <v>0</v>
      </c>
      <c r="N295">
        <v>504030</v>
      </c>
      <c r="O295">
        <v>5294644.17</v>
      </c>
      <c r="P295">
        <v>4801915.6399999987</v>
      </c>
      <c r="Q295">
        <v>198719</v>
      </c>
      <c r="R295">
        <v>0</v>
      </c>
      <c r="S295">
        <v>959529.05</v>
      </c>
      <c r="T295">
        <v>5285236.97</v>
      </c>
      <c r="U295">
        <v>4791364.0500000007</v>
      </c>
      <c r="V295">
        <v>172848</v>
      </c>
      <c r="W295">
        <v>0</v>
      </c>
      <c r="X295">
        <v>1029812.63</v>
      </c>
      <c r="Y295">
        <v>4933857.67</v>
      </c>
      <c r="Z295">
        <v>4801498.8299999991</v>
      </c>
      <c r="AA295">
        <v>169970</v>
      </c>
      <c r="AB295">
        <v>0</v>
      </c>
      <c r="AC295">
        <v>722629.3</v>
      </c>
      <c r="AD295">
        <v>4704375.5</v>
      </c>
      <c r="AE295">
        <v>5195386.5999999996</v>
      </c>
      <c r="AF295">
        <v>175687</v>
      </c>
      <c r="AZ295">
        <v>1935</v>
      </c>
      <c r="BA295" t="s">
        <v>491</v>
      </c>
      <c r="BB295">
        <v>12296213.279999999</v>
      </c>
      <c r="BC295">
        <v>12276617.91</v>
      </c>
      <c r="BD295">
        <v>494478</v>
      </c>
      <c r="BG295">
        <v>1935</v>
      </c>
      <c r="BH295" t="s">
        <v>491</v>
      </c>
      <c r="BI295">
        <v>0</v>
      </c>
      <c r="BJ295">
        <v>899980.95</v>
      </c>
    </row>
    <row r="296" spans="1:62" x14ac:dyDescent="0.25">
      <c r="A296">
        <v>6512</v>
      </c>
      <c r="B296" t="s">
        <v>488</v>
      </c>
      <c r="C296">
        <v>0</v>
      </c>
      <c r="D296">
        <v>917977.22</v>
      </c>
      <c r="E296">
        <v>4102390.52</v>
      </c>
      <c r="F296">
        <v>4267269.5</v>
      </c>
      <c r="G296">
        <v>151211</v>
      </c>
      <c r="H296">
        <v>0</v>
      </c>
      <c r="I296">
        <v>599503.94999999995</v>
      </c>
      <c r="J296">
        <v>3914077.82</v>
      </c>
      <c r="K296">
        <v>4229185.82</v>
      </c>
      <c r="L296">
        <v>161191</v>
      </c>
      <c r="M296">
        <v>0</v>
      </c>
      <c r="N296">
        <v>482308.07</v>
      </c>
      <c r="O296">
        <v>4250826.21</v>
      </c>
      <c r="P296">
        <v>4379014.93</v>
      </c>
      <c r="Q296">
        <v>161734</v>
      </c>
      <c r="R296">
        <v>0</v>
      </c>
      <c r="S296">
        <v>709742.73</v>
      </c>
      <c r="T296">
        <v>4419833.8099999996</v>
      </c>
      <c r="U296">
        <v>4159231.9699999997</v>
      </c>
      <c r="V296">
        <v>145498</v>
      </c>
      <c r="W296">
        <v>0</v>
      </c>
      <c r="X296">
        <v>501104.48</v>
      </c>
      <c r="Y296">
        <v>4347623.42</v>
      </c>
      <c r="Z296">
        <v>4544776.0899999989</v>
      </c>
      <c r="AA296">
        <v>144701</v>
      </c>
      <c r="AB296">
        <v>0</v>
      </c>
      <c r="AC296">
        <v>-91178</v>
      </c>
      <c r="AD296">
        <v>4084647.4</v>
      </c>
      <c r="AE296">
        <v>4671595.3500000006</v>
      </c>
      <c r="AF296">
        <v>148436</v>
      </c>
      <c r="AZ296">
        <v>6561</v>
      </c>
      <c r="BA296" t="s">
        <v>492</v>
      </c>
      <c r="BB296">
        <v>4472891.9000000004</v>
      </c>
      <c r="BC296">
        <v>4189284.43</v>
      </c>
      <c r="BD296">
        <v>117558</v>
      </c>
      <c r="BG296">
        <v>6561</v>
      </c>
      <c r="BH296" t="s">
        <v>492</v>
      </c>
      <c r="BI296">
        <v>0</v>
      </c>
      <c r="BJ296">
        <v>821358.79</v>
      </c>
    </row>
    <row r="297" spans="1:62" x14ac:dyDescent="0.25">
      <c r="A297">
        <v>6516</v>
      </c>
      <c r="B297" t="s">
        <v>489</v>
      </c>
      <c r="C297">
        <v>0</v>
      </c>
      <c r="D297">
        <v>282374.82</v>
      </c>
      <c r="E297">
        <v>2794141.19</v>
      </c>
      <c r="F297">
        <v>2520588.9799999995</v>
      </c>
      <c r="G297">
        <v>72587</v>
      </c>
      <c r="H297">
        <v>0</v>
      </c>
      <c r="I297">
        <v>801908.84</v>
      </c>
      <c r="J297">
        <v>2716393.66</v>
      </c>
      <c r="K297">
        <v>2196859.64</v>
      </c>
      <c r="L297">
        <v>77067</v>
      </c>
      <c r="M297">
        <v>0</v>
      </c>
      <c r="N297">
        <v>1159649.1299999999</v>
      </c>
      <c r="O297">
        <v>2535728.9</v>
      </c>
      <c r="P297">
        <v>2163695.6</v>
      </c>
      <c r="Q297">
        <v>77988</v>
      </c>
      <c r="R297">
        <v>0</v>
      </c>
      <c r="S297">
        <v>1213193.43</v>
      </c>
      <c r="T297">
        <v>2102339.36</v>
      </c>
      <c r="U297">
        <v>2040893.0100000002</v>
      </c>
      <c r="V297">
        <v>70537</v>
      </c>
      <c r="W297">
        <v>0</v>
      </c>
      <c r="X297">
        <v>1421298.28</v>
      </c>
      <c r="Y297">
        <v>2081719.46</v>
      </c>
      <c r="Z297">
        <v>1877148.74</v>
      </c>
      <c r="AA297">
        <v>70705</v>
      </c>
      <c r="AB297">
        <v>0</v>
      </c>
      <c r="AC297">
        <v>1591677.61</v>
      </c>
      <c r="AD297">
        <v>2010464.76</v>
      </c>
      <c r="AE297">
        <v>1835222.3399999999</v>
      </c>
      <c r="AF297">
        <v>74517</v>
      </c>
      <c r="AZ297">
        <v>6579</v>
      </c>
      <c r="BA297" t="s">
        <v>493</v>
      </c>
      <c r="BB297">
        <v>40263599.350000001</v>
      </c>
      <c r="BC297">
        <v>40262227.519999996</v>
      </c>
      <c r="BD297">
        <v>1225794</v>
      </c>
      <c r="BG297">
        <v>6579</v>
      </c>
      <c r="BH297" t="s">
        <v>493</v>
      </c>
      <c r="BI297">
        <v>0</v>
      </c>
      <c r="BJ297">
        <v>4197136.03</v>
      </c>
    </row>
    <row r="298" spans="1:62" x14ac:dyDescent="0.25">
      <c r="A298">
        <v>6534</v>
      </c>
      <c r="B298" t="s">
        <v>490</v>
      </c>
      <c r="C298">
        <v>0</v>
      </c>
      <c r="D298">
        <v>767164.24</v>
      </c>
      <c r="E298">
        <v>6887796.5</v>
      </c>
      <c r="F298">
        <v>6908087.5100000007</v>
      </c>
      <c r="G298">
        <v>263267</v>
      </c>
      <c r="H298">
        <v>0</v>
      </c>
      <c r="I298">
        <v>429883.59</v>
      </c>
      <c r="J298">
        <v>6816666.4800000004</v>
      </c>
      <c r="K298">
        <v>7141448.6299999999</v>
      </c>
      <c r="L298">
        <v>297169</v>
      </c>
      <c r="M298">
        <v>0</v>
      </c>
      <c r="N298">
        <v>644925.37</v>
      </c>
      <c r="O298">
        <v>7736943.7800000003</v>
      </c>
      <c r="P298">
        <v>7470393.4400000004</v>
      </c>
      <c r="Q298">
        <v>309671</v>
      </c>
      <c r="R298">
        <v>0</v>
      </c>
      <c r="S298">
        <v>809771.12</v>
      </c>
      <c r="T298">
        <v>7640250.0999999996</v>
      </c>
      <c r="U298">
        <v>7444839.54</v>
      </c>
      <c r="V298">
        <v>280435</v>
      </c>
      <c r="W298">
        <v>0</v>
      </c>
      <c r="X298">
        <v>726182.65</v>
      </c>
      <c r="Y298">
        <v>7631054.8300000001</v>
      </c>
      <c r="Z298">
        <v>7715726.5499999989</v>
      </c>
      <c r="AA298">
        <v>280205</v>
      </c>
      <c r="AB298">
        <v>0</v>
      </c>
      <c r="AC298">
        <v>544090.65</v>
      </c>
      <c r="AD298">
        <v>7679177.8600000003</v>
      </c>
      <c r="AE298">
        <v>7846485.3300000001</v>
      </c>
      <c r="AF298">
        <v>287364</v>
      </c>
      <c r="AZ298">
        <v>6591</v>
      </c>
      <c r="BA298" t="s">
        <v>494</v>
      </c>
      <c r="BB298">
        <v>5572923.21</v>
      </c>
      <c r="BC298">
        <v>5288435.2300000004</v>
      </c>
      <c r="BD298">
        <v>179488</v>
      </c>
      <c r="BG298">
        <v>6591</v>
      </c>
      <c r="BH298" t="s">
        <v>494</v>
      </c>
      <c r="BI298">
        <v>34258.480000000003</v>
      </c>
      <c r="BJ298">
        <v>649878</v>
      </c>
    </row>
    <row r="299" spans="1:62" x14ac:dyDescent="0.25">
      <c r="A299">
        <v>6536</v>
      </c>
      <c r="B299" t="s">
        <v>491</v>
      </c>
      <c r="C299">
        <v>0</v>
      </c>
      <c r="D299">
        <v>643797.41</v>
      </c>
      <c r="E299">
        <v>11330798.460000001</v>
      </c>
      <c r="F299">
        <v>11059105.979999999</v>
      </c>
      <c r="G299">
        <v>452298</v>
      </c>
      <c r="H299">
        <v>0</v>
      </c>
      <c r="I299">
        <v>655473.16</v>
      </c>
      <c r="J299">
        <v>11230321.890000001</v>
      </c>
      <c r="K299">
        <v>11130103.279999997</v>
      </c>
      <c r="L299">
        <v>536585</v>
      </c>
      <c r="M299">
        <v>0</v>
      </c>
      <c r="N299">
        <v>1134635.68</v>
      </c>
      <c r="O299">
        <v>11919396.73</v>
      </c>
      <c r="P299">
        <v>11344524.689999999</v>
      </c>
      <c r="Q299">
        <v>551202</v>
      </c>
      <c r="R299">
        <v>0</v>
      </c>
      <c r="S299">
        <v>1321248.22</v>
      </c>
      <c r="T299">
        <v>12044623.720000001</v>
      </c>
      <c r="U299">
        <v>11797741.33</v>
      </c>
      <c r="V299">
        <v>506961</v>
      </c>
      <c r="W299">
        <v>0</v>
      </c>
      <c r="X299">
        <v>1164030.17</v>
      </c>
      <c r="Y299">
        <v>12010401.93</v>
      </c>
      <c r="Z299">
        <v>12109908.85</v>
      </c>
      <c r="AA299">
        <v>494478</v>
      </c>
      <c r="AB299">
        <v>0</v>
      </c>
      <c r="AC299">
        <v>1162374.3899999999</v>
      </c>
      <c r="AD299">
        <v>12296213.279999999</v>
      </c>
      <c r="AE299">
        <v>12276617.91</v>
      </c>
      <c r="AF299">
        <v>506729</v>
      </c>
      <c r="AZ299">
        <v>6592</v>
      </c>
      <c r="BA299" t="s">
        <v>615</v>
      </c>
      <c r="BB299">
        <v>7294588.4000000004</v>
      </c>
      <c r="BC299">
        <v>7772470.6499999994</v>
      </c>
      <c r="BD299">
        <v>260930</v>
      </c>
      <c r="BG299">
        <v>6592</v>
      </c>
      <c r="BH299" t="s">
        <v>615</v>
      </c>
      <c r="BI299">
        <v>0</v>
      </c>
      <c r="BJ299">
        <v>-119177.74</v>
      </c>
    </row>
    <row r="300" spans="1:62" x14ac:dyDescent="0.25">
      <c r="A300">
        <v>6561</v>
      </c>
      <c r="B300" t="s">
        <v>492</v>
      </c>
      <c r="C300">
        <v>9714.49</v>
      </c>
      <c r="D300">
        <v>923579.14</v>
      </c>
      <c r="E300">
        <v>4178573.67</v>
      </c>
      <c r="F300">
        <v>4556661.26</v>
      </c>
      <c r="G300">
        <v>126184</v>
      </c>
      <c r="H300">
        <v>10783.3</v>
      </c>
      <c r="I300">
        <v>78869.070000000007</v>
      </c>
      <c r="J300">
        <v>3170295.19</v>
      </c>
      <c r="K300">
        <v>3927841.25</v>
      </c>
      <c r="L300">
        <v>134797</v>
      </c>
      <c r="M300">
        <v>0</v>
      </c>
      <c r="N300">
        <v>-184094.14</v>
      </c>
      <c r="O300">
        <v>3627500.94</v>
      </c>
      <c r="P300">
        <v>3841728.2</v>
      </c>
      <c r="Q300">
        <v>133949</v>
      </c>
      <c r="R300">
        <v>0</v>
      </c>
      <c r="S300">
        <v>125213.75999999999</v>
      </c>
      <c r="T300">
        <v>4221749.29</v>
      </c>
      <c r="U300">
        <v>4013774.9299999997</v>
      </c>
      <c r="V300">
        <v>121058</v>
      </c>
      <c r="W300">
        <v>0</v>
      </c>
      <c r="X300">
        <v>635208.07999999996</v>
      </c>
      <c r="Y300">
        <v>4360761.49</v>
      </c>
      <c r="Z300">
        <v>3901225.6800000006</v>
      </c>
      <c r="AA300">
        <v>117558</v>
      </c>
      <c r="AB300">
        <v>0</v>
      </c>
      <c r="AC300">
        <v>880653.32</v>
      </c>
      <c r="AD300">
        <v>4472891.9000000004</v>
      </c>
      <c r="AE300">
        <v>4189284.43</v>
      </c>
      <c r="AF300">
        <v>124448</v>
      </c>
      <c r="AZ300">
        <v>6615</v>
      </c>
      <c r="BA300" t="s">
        <v>496</v>
      </c>
      <c r="BB300">
        <v>6078653.8099999996</v>
      </c>
      <c r="BC300">
        <v>6134590.669999999</v>
      </c>
      <c r="BD300">
        <v>212046</v>
      </c>
      <c r="BG300">
        <v>6615</v>
      </c>
      <c r="BH300" t="s">
        <v>496</v>
      </c>
      <c r="BI300">
        <v>81800.740000000005</v>
      </c>
      <c r="BJ300">
        <v>1766256.18</v>
      </c>
    </row>
    <row r="301" spans="1:62" x14ac:dyDescent="0.25">
      <c r="A301">
        <v>6579</v>
      </c>
      <c r="B301" t="s">
        <v>493</v>
      </c>
      <c r="C301">
        <v>0</v>
      </c>
      <c r="D301">
        <v>137989.59</v>
      </c>
      <c r="E301">
        <v>30634099.460000001</v>
      </c>
      <c r="F301">
        <v>32346659.730000004</v>
      </c>
      <c r="G301">
        <v>1109997</v>
      </c>
      <c r="H301">
        <v>0</v>
      </c>
      <c r="I301">
        <v>1982034.31</v>
      </c>
      <c r="J301">
        <v>35359045.920000002</v>
      </c>
      <c r="K301">
        <v>33218572.560000002</v>
      </c>
      <c r="L301">
        <v>1259842</v>
      </c>
      <c r="M301">
        <v>0</v>
      </c>
      <c r="N301">
        <v>3179673.84</v>
      </c>
      <c r="O301">
        <v>35061000.859999999</v>
      </c>
      <c r="P301">
        <v>34031306.159999996</v>
      </c>
      <c r="Q301">
        <v>1296055</v>
      </c>
      <c r="R301">
        <v>0</v>
      </c>
      <c r="S301">
        <v>4095612.85</v>
      </c>
      <c r="T301">
        <v>36439976.880000003</v>
      </c>
      <c r="U301">
        <v>35524189.829999998</v>
      </c>
      <c r="V301">
        <v>1216996</v>
      </c>
      <c r="W301">
        <v>0</v>
      </c>
      <c r="X301">
        <v>4578015.13</v>
      </c>
      <c r="Y301">
        <v>37678771.009999998</v>
      </c>
      <c r="Z301">
        <v>37200854.300000004</v>
      </c>
      <c r="AA301">
        <v>1225794</v>
      </c>
      <c r="AB301">
        <v>0</v>
      </c>
      <c r="AC301">
        <v>4550062.1900000004</v>
      </c>
      <c r="AD301">
        <v>40263599.350000001</v>
      </c>
      <c r="AE301">
        <v>40262227.519999996</v>
      </c>
      <c r="AF301">
        <v>1317608</v>
      </c>
      <c r="AZ301">
        <v>6651</v>
      </c>
      <c r="BA301" t="s">
        <v>497</v>
      </c>
      <c r="BB301">
        <v>4370575.57</v>
      </c>
      <c r="BC301">
        <v>4744689.2500000009</v>
      </c>
      <c r="BD301">
        <v>137752</v>
      </c>
      <c r="BG301">
        <v>6651</v>
      </c>
      <c r="BH301" t="s">
        <v>497</v>
      </c>
      <c r="BI301">
        <v>0</v>
      </c>
      <c r="BJ301">
        <v>239573.96</v>
      </c>
    </row>
    <row r="302" spans="1:62" x14ac:dyDescent="0.25">
      <c r="A302">
        <v>6591</v>
      </c>
      <c r="B302" t="s">
        <v>494</v>
      </c>
      <c r="C302">
        <v>13096.81</v>
      </c>
      <c r="D302">
        <v>1047633.13</v>
      </c>
      <c r="E302">
        <v>4603618.32</v>
      </c>
      <c r="F302">
        <v>4401729.28</v>
      </c>
      <c r="G302">
        <v>186928</v>
      </c>
      <c r="H302">
        <v>21118.97</v>
      </c>
      <c r="I302">
        <v>419430.35</v>
      </c>
      <c r="J302">
        <v>4455569.92</v>
      </c>
      <c r="K302">
        <v>5043685.67</v>
      </c>
      <c r="L302">
        <v>201734</v>
      </c>
      <c r="M302">
        <v>24706.68</v>
      </c>
      <c r="N302">
        <v>111504.27</v>
      </c>
      <c r="O302">
        <v>4636168.9800000004</v>
      </c>
      <c r="P302">
        <v>4920527.09</v>
      </c>
      <c r="Q302">
        <v>203209</v>
      </c>
      <c r="R302">
        <v>0</v>
      </c>
      <c r="S302">
        <v>-25710.68</v>
      </c>
      <c r="T302">
        <v>4735095.76</v>
      </c>
      <c r="U302">
        <v>4847313.0600000005</v>
      </c>
      <c r="V302">
        <v>179347</v>
      </c>
      <c r="W302">
        <v>27901.34</v>
      </c>
      <c r="X302">
        <v>470795.52000000002</v>
      </c>
      <c r="Y302">
        <v>5019657.75</v>
      </c>
      <c r="Z302">
        <v>4458167.51</v>
      </c>
      <c r="AA302">
        <v>179488</v>
      </c>
      <c r="AB302">
        <v>30887.95</v>
      </c>
      <c r="AC302">
        <v>845890.88</v>
      </c>
      <c r="AD302">
        <v>5572923.21</v>
      </c>
      <c r="AE302">
        <v>5288435.2300000004</v>
      </c>
      <c r="AF302">
        <v>182951</v>
      </c>
      <c r="AZ302">
        <v>6660</v>
      </c>
      <c r="BA302" t="s">
        <v>498</v>
      </c>
      <c r="BB302">
        <v>16734406.9</v>
      </c>
      <c r="BC302">
        <v>16698593.83</v>
      </c>
      <c r="BD302">
        <v>658191</v>
      </c>
      <c r="BG302">
        <v>6660</v>
      </c>
      <c r="BH302" t="s">
        <v>498</v>
      </c>
      <c r="BI302">
        <v>56883.89</v>
      </c>
      <c r="BJ302">
        <v>1781878.71</v>
      </c>
    </row>
    <row r="303" spans="1:62" x14ac:dyDescent="0.25">
      <c r="A303">
        <v>6592</v>
      </c>
      <c r="B303" t="s">
        <v>495</v>
      </c>
      <c r="C303">
        <v>0</v>
      </c>
      <c r="D303">
        <v>624958.25</v>
      </c>
      <c r="E303">
        <v>7898392.7400000002</v>
      </c>
      <c r="F303">
        <v>8530081.6099999994</v>
      </c>
      <c r="G303">
        <v>262789</v>
      </c>
      <c r="H303">
        <v>0</v>
      </c>
      <c r="I303">
        <v>-323404.56</v>
      </c>
      <c r="J303">
        <v>7599040.7000000002</v>
      </c>
      <c r="K303">
        <v>8355125.9299999997</v>
      </c>
      <c r="L303">
        <v>290048</v>
      </c>
      <c r="M303">
        <v>0</v>
      </c>
      <c r="N303">
        <v>751757.4</v>
      </c>
      <c r="O303">
        <v>8393903.1300000008</v>
      </c>
      <c r="P303">
        <v>7280495.1099999994</v>
      </c>
      <c r="Q303">
        <v>297726</v>
      </c>
      <c r="R303">
        <v>0</v>
      </c>
      <c r="S303">
        <v>1261841.58</v>
      </c>
      <c r="T303">
        <v>7940079.5099999998</v>
      </c>
      <c r="U303">
        <v>7449132.7300000004</v>
      </c>
      <c r="V303">
        <v>265846</v>
      </c>
      <c r="W303">
        <v>0</v>
      </c>
      <c r="X303">
        <v>1287712.5</v>
      </c>
      <c r="Y303">
        <v>7439048.3799999999</v>
      </c>
      <c r="Z303">
        <v>7295574.1899999995</v>
      </c>
      <c r="AA303">
        <v>260930</v>
      </c>
      <c r="AB303">
        <v>0</v>
      </c>
      <c r="AC303">
        <v>760325.07</v>
      </c>
      <c r="AD303">
        <v>7294588.4000000004</v>
      </c>
      <c r="AE303">
        <v>7772470.6499999994</v>
      </c>
      <c r="AF303">
        <v>266133</v>
      </c>
      <c r="AZ303">
        <v>6700</v>
      </c>
      <c r="BA303" t="s">
        <v>499</v>
      </c>
      <c r="BB303">
        <v>6402727.6500000004</v>
      </c>
      <c r="BC303">
        <v>5887494.5900000008</v>
      </c>
      <c r="BD303">
        <v>195765</v>
      </c>
      <c r="BG303">
        <v>6700</v>
      </c>
      <c r="BH303" t="s">
        <v>499</v>
      </c>
      <c r="BI303">
        <v>0</v>
      </c>
      <c r="BJ303">
        <v>1463408.67</v>
      </c>
    </row>
    <row r="304" spans="1:62" x14ac:dyDescent="0.25">
      <c r="A304">
        <v>6615</v>
      </c>
      <c r="B304" t="s">
        <v>496</v>
      </c>
      <c r="C304">
        <v>0</v>
      </c>
      <c r="D304">
        <v>251584.12</v>
      </c>
      <c r="E304">
        <v>5440056</v>
      </c>
      <c r="F304">
        <v>5469168.6600000011</v>
      </c>
      <c r="G304">
        <v>202486</v>
      </c>
      <c r="H304">
        <v>0</v>
      </c>
      <c r="I304">
        <v>335690.39</v>
      </c>
      <c r="J304">
        <v>5505564.7000000002</v>
      </c>
      <c r="K304">
        <v>5380580.7800000003</v>
      </c>
      <c r="L304">
        <v>220114</v>
      </c>
      <c r="M304">
        <v>23936.43</v>
      </c>
      <c r="N304">
        <v>935416.39</v>
      </c>
      <c r="O304">
        <v>5922242.04</v>
      </c>
      <c r="P304">
        <v>5285971.8500000006</v>
      </c>
      <c r="Q304">
        <v>228297</v>
      </c>
      <c r="R304">
        <v>40964.86</v>
      </c>
      <c r="S304">
        <v>1629701.44</v>
      </c>
      <c r="T304">
        <v>6315082.04</v>
      </c>
      <c r="U304">
        <v>5585022.3500000006</v>
      </c>
      <c r="V304">
        <v>210235</v>
      </c>
      <c r="W304">
        <v>58666.239999999998</v>
      </c>
      <c r="X304">
        <v>1869427.58</v>
      </c>
      <c r="Y304">
        <v>5796034.3899999997</v>
      </c>
      <c r="Z304">
        <v>5554215.3600000003</v>
      </c>
      <c r="AA304">
        <v>212046</v>
      </c>
      <c r="AB304">
        <v>62632.36</v>
      </c>
      <c r="AC304">
        <v>1831723.56</v>
      </c>
      <c r="AD304">
        <v>6078653.8099999996</v>
      </c>
      <c r="AE304">
        <v>6134590.669999999</v>
      </c>
      <c r="AF304">
        <v>221820</v>
      </c>
      <c r="AZ304">
        <v>6759</v>
      </c>
      <c r="BA304" t="s">
        <v>501</v>
      </c>
      <c r="BB304">
        <v>8149509.0099999998</v>
      </c>
      <c r="BC304">
        <v>7346472.9100000001</v>
      </c>
      <c r="BD304">
        <v>284686</v>
      </c>
      <c r="BG304">
        <v>6759</v>
      </c>
      <c r="BH304" t="s">
        <v>501</v>
      </c>
      <c r="BI304">
        <v>0</v>
      </c>
      <c r="BJ304">
        <v>771140.14</v>
      </c>
    </row>
    <row r="305" spans="1:62" x14ac:dyDescent="0.25">
      <c r="A305">
        <v>6651</v>
      </c>
      <c r="B305" t="s">
        <v>497</v>
      </c>
      <c r="C305">
        <v>20000</v>
      </c>
      <c r="D305">
        <v>145479.34</v>
      </c>
      <c r="E305">
        <v>3536177.33</v>
      </c>
      <c r="F305">
        <v>3550090.9299999997</v>
      </c>
      <c r="G305">
        <v>142086</v>
      </c>
      <c r="H305">
        <v>20000</v>
      </c>
      <c r="I305">
        <v>34783.519999999997</v>
      </c>
      <c r="J305">
        <v>3598195.81</v>
      </c>
      <c r="K305">
        <v>3672227.6799999997</v>
      </c>
      <c r="L305">
        <v>156434</v>
      </c>
      <c r="M305">
        <v>0</v>
      </c>
      <c r="N305">
        <v>327371.09999999998</v>
      </c>
      <c r="O305">
        <v>4110492.18</v>
      </c>
      <c r="P305">
        <v>3822632.04</v>
      </c>
      <c r="Q305">
        <v>156696</v>
      </c>
      <c r="R305">
        <v>0</v>
      </c>
      <c r="S305">
        <v>559041.05000000005</v>
      </c>
      <c r="T305">
        <v>3851065.54</v>
      </c>
      <c r="U305">
        <v>3631195.5199999996</v>
      </c>
      <c r="V305">
        <v>136948</v>
      </c>
      <c r="W305">
        <v>0</v>
      </c>
      <c r="X305">
        <v>724301.03</v>
      </c>
      <c r="Y305">
        <v>3939763.23</v>
      </c>
      <c r="Z305">
        <v>3788314.1100000003</v>
      </c>
      <c r="AA305">
        <v>137752</v>
      </c>
      <c r="AB305">
        <v>0</v>
      </c>
      <c r="AC305">
        <v>306292.65999999997</v>
      </c>
      <c r="AD305">
        <v>4370575.57</v>
      </c>
      <c r="AE305">
        <v>4744689.2500000009</v>
      </c>
      <c r="AF305">
        <v>140104</v>
      </c>
      <c r="AZ305">
        <v>6762</v>
      </c>
      <c r="BA305" t="s">
        <v>502</v>
      </c>
      <c r="BB305">
        <v>7784677.2599999998</v>
      </c>
      <c r="BC305">
        <v>7802000.8500000006</v>
      </c>
      <c r="BD305">
        <v>276319</v>
      </c>
      <c r="BG305">
        <v>6762</v>
      </c>
      <c r="BH305" t="s">
        <v>502</v>
      </c>
      <c r="BI305">
        <v>0</v>
      </c>
      <c r="BJ305">
        <v>474415.7</v>
      </c>
    </row>
    <row r="306" spans="1:62" x14ac:dyDescent="0.25">
      <c r="A306">
        <v>6660</v>
      </c>
      <c r="B306" t="s">
        <v>498</v>
      </c>
      <c r="C306">
        <v>0</v>
      </c>
      <c r="D306">
        <v>-435863.15</v>
      </c>
      <c r="E306">
        <v>15345999.76</v>
      </c>
      <c r="F306">
        <v>15516627.109999999</v>
      </c>
      <c r="G306">
        <v>663597</v>
      </c>
      <c r="H306">
        <v>0</v>
      </c>
      <c r="I306">
        <v>-886681.32</v>
      </c>
      <c r="J306">
        <v>15390756.49</v>
      </c>
      <c r="K306">
        <v>15636902.65</v>
      </c>
      <c r="L306">
        <v>709635</v>
      </c>
      <c r="M306">
        <v>0</v>
      </c>
      <c r="N306">
        <v>693709.09</v>
      </c>
      <c r="O306">
        <v>17235618.25</v>
      </c>
      <c r="P306">
        <v>15544414.67</v>
      </c>
      <c r="Q306">
        <v>736988</v>
      </c>
      <c r="R306">
        <v>0</v>
      </c>
      <c r="S306">
        <v>2019202.91</v>
      </c>
      <c r="T306">
        <v>17196709.510000002</v>
      </c>
      <c r="U306">
        <v>15767042.74</v>
      </c>
      <c r="V306">
        <v>661699</v>
      </c>
      <c r="W306">
        <v>1701.19</v>
      </c>
      <c r="X306">
        <v>2310788.14</v>
      </c>
      <c r="Y306">
        <v>16602040.029999999</v>
      </c>
      <c r="Z306">
        <v>16122060.720000001</v>
      </c>
      <c r="AA306">
        <v>658191</v>
      </c>
      <c r="AB306">
        <v>45540.09</v>
      </c>
      <c r="AC306">
        <v>2337950.61</v>
      </c>
      <c r="AD306">
        <v>16734406.9</v>
      </c>
      <c r="AE306">
        <v>16698593.83</v>
      </c>
      <c r="AF306">
        <v>676805</v>
      </c>
      <c r="AZ306">
        <v>6768</v>
      </c>
      <c r="BA306" t="s">
        <v>503</v>
      </c>
      <c r="BB306">
        <v>18588165.100000001</v>
      </c>
      <c r="BC306">
        <v>19151227.289999999</v>
      </c>
      <c r="BD306">
        <v>679366</v>
      </c>
      <c r="BG306">
        <v>6768</v>
      </c>
      <c r="BH306" t="s">
        <v>503</v>
      </c>
      <c r="BI306">
        <v>0</v>
      </c>
      <c r="BJ306">
        <v>2314666.06</v>
      </c>
    </row>
    <row r="307" spans="1:62" x14ac:dyDescent="0.25">
      <c r="A307">
        <v>6700</v>
      </c>
      <c r="B307" t="s">
        <v>499</v>
      </c>
      <c r="C307">
        <v>0</v>
      </c>
      <c r="D307">
        <v>28520.22</v>
      </c>
      <c r="E307">
        <v>5863895.5899999999</v>
      </c>
      <c r="F307">
        <v>5721912.8999999994</v>
      </c>
      <c r="G307">
        <v>200335</v>
      </c>
      <c r="H307">
        <v>0</v>
      </c>
      <c r="I307">
        <v>-196413.34</v>
      </c>
      <c r="J307">
        <v>5658968.0199999996</v>
      </c>
      <c r="K307">
        <v>5643308.9199999999</v>
      </c>
      <c r="L307">
        <v>213346</v>
      </c>
      <c r="M307">
        <v>0</v>
      </c>
      <c r="N307">
        <v>-103767.33</v>
      </c>
      <c r="O307">
        <v>5972375.1500000004</v>
      </c>
      <c r="P307">
        <v>5885177.3499999996</v>
      </c>
      <c r="Q307">
        <v>214946</v>
      </c>
      <c r="R307">
        <v>0</v>
      </c>
      <c r="S307">
        <v>335138.07</v>
      </c>
      <c r="T307">
        <v>6421954.3899999997</v>
      </c>
      <c r="U307">
        <v>5951721.6299999999</v>
      </c>
      <c r="V307">
        <v>195425</v>
      </c>
      <c r="W307">
        <v>0</v>
      </c>
      <c r="X307">
        <v>1242173.1000000001</v>
      </c>
      <c r="Y307">
        <v>6249959.3099999996</v>
      </c>
      <c r="Z307">
        <v>5498910.3999999994</v>
      </c>
      <c r="AA307">
        <v>195765</v>
      </c>
      <c r="AB307">
        <v>0</v>
      </c>
      <c r="AC307">
        <v>1786205.01</v>
      </c>
      <c r="AD307">
        <v>6402727.6500000004</v>
      </c>
      <c r="AE307">
        <v>5887494.5900000008</v>
      </c>
      <c r="AF307">
        <v>200995</v>
      </c>
      <c r="AZ307">
        <v>6795</v>
      </c>
      <c r="BA307" t="s">
        <v>504</v>
      </c>
      <c r="BB307">
        <v>122450074.8</v>
      </c>
      <c r="BC307">
        <v>120183324.86000001</v>
      </c>
      <c r="BD307">
        <v>4648080</v>
      </c>
      <c r="BG307">
        <v>6795</v>
      </c>
      <c r="BH307" t="s">
        <v>504</v>
      </c>
      <c r="BI307">
        <v>2854732.28</v>
      </c>
      <c r="BJ307">
        <v>4872816.4000000004</v>
      </c>
    </row>
    <row r="308" spans="1:62" x14ac:dyDescent="0.25">
      <c r="A308">
        <v>6750</v>
      </c>
      <c r="B308" t="s">
        <v>500</v>
      </c>
      <c r="C308">
        <v>0</v>
      </c>
      <c r="D308">
        <v>543430.63</v>
      </c>
      <c r="E308">
        <v>2417646.75</v>
      </c>
      <c r="F308">
        <v>2384460.75</v>
      </c>
      <c r="G308">
        <v>81788</v>
      </c>
      <c r="H308">
        <v>0</v>
      </c>
      <c r="I308">
        <v>274635.86</v>
      </c>
      <c r="J308">
        <v>2047736.48</v>
      </c>
      <c r="K308">
        <v>2282188.8199999998</v>
      </c>
      <c r="L308">
        <v>87316</v>
      </c>
      <c r="M308">
        <v>0</v>
      </c>
      <c r="N308">
        <v>287495.67</v>
      </c>
      <c r="O308">
        <v>2251818.0099999998</v>
      </c>
      <c r="P308">
        <v>2163035.9800000004</v>
      </c>
      <c r="Q308">
        <v>87905</v>
      </c>
      <c r="R308">
        <v>0</v>
      </c>
      <c r="S308">
        <v>343249.84</v>
      </c>
      <c r="T308">
        <v>2562143.9300000002</v>
      </c>
      <c r="U308">
        <v>2497175.8000000003</v>
      </c>
      <c r="V308">
        <v>77571</v>
      </c>
      <c r="W308">
        <v>0</v>
      </c>
      <c r="X308">
        <v>126539.91</v>
      </c>
      <c r="Y308">
        <v>2194818.7200000002</v>
      </c>
      <c r="Z308">
        <v>2408538.75</v>
      </c>
      <c r="AA308">
        <v>76701</v>
      </c>
      <c r="AB308">
        <v>0</v>
      </c>
      <c r="AC308">
        <v>68054.13</v>
      </c>
      <c r="AD308">
        <v>2279778.0099999998</v>
      </c>
      <c r="AE308">
        <v>2392614.9299999997</v>
      </c>
      <c r="AF308">
        <v>78533</v>
      </c>
      <c r="AZ308">
        <v>6822</v>
      </c>
      <c r="BA308" t="s">
        <v>505</v>
      </c>
      <c r="BB308">
        <v>69975510.030000001</v>
      </c>
      <c r="BC308">
        <v>72862323.600000009</v>
      </c>
      <c r="BD308">
        <v>2804317</v>
      </c>
      <c r="BG308">
        <v>6822</v>
      </c>
      <c r="BH308" t="s">
        <v>505</v>
      </c>
      <c r="BI308">
        <v>0</v>
      </c>
      <c r="BJ308">
        <v>6950071.4800000004</v>
      </c>
    </row>
    <row r="309" spans="1:62" x14ac:dyDescent="0.25">
      <c r="A309">
        <v>6759</v>
      </c>
      <c r="B309" t="s">
        <v>501</v>
      </c>
      <c r="C309">
        <v>0</v>
      </c>
      <c r="D309">
        <v>687456.88</v>
      </c>
      <c r="E309">
        <v>7336788.4800000004</v>
      </c>
      <c r="F309">
        <v>6916324.1800000006</v>
      </c>
      <c r="G309">
        <v>291503</v>
      </c>
      <c r="H309">
        <v>0</v>
      </c>
      <c r="I309">
        <v>239859.19</v>
      </c>
      <c r="J309">
        <v>7062053.6600000001</v>
      </c>
      <c r="K309">
        <v>7467522.4300000006</v>
      </c>
      <c r="L309">
        <v>311759</v>
      </c>
      <c r="M309">
        <v>0</v>
      </c>
      <c r="N309">
        <v>216846.72</v>
      </c>
      <c r="O309">
        <v>7487081.4199999999</v>
      </c>
      <c r="P309">
        <v>7362054.1100000003</v>
      </c>
      <c r="Q309">
        <v>313414</v>
      </c>
      <c r="R309">
        <v>0</v>
      </c>
      <c r="S309">
        <v>345260.82</v>
      </c>
      <c r="T309">
        <v>7710837.0899999999</v>
      </c>
      <c r="U309">
        <v>7457522.9000000013</v>
      </c>
      <c r="V309">
        <v>287363</v>
      </c>
      <c r="W309">
        <v>0</v>
      </c>
      <c r="X309">
        <v>279098.95</v>
      </c>
      <c r="Y309">
        <v>7728136.8700000001</v>
      </c>
      <c r="Z309">
        <v>7710497.9500000002</v>
      </c>
      <c r="AA309">
        <v>284686</v>
      </c>
      <c r="AB309">
        <v>0</v>
      </c>
      <c r="AC309">
        <v>1064354.75</v>
      </c>
      <c r="AD309">
        <v>8149509.0099999998</v>
      </c>
      <c r="AE309">
        <v>7346472.9100000001</v>
      </c>
      <c r="AF309">
        <v>295733</v>
      </c>
      <c r="AZ309">
        <v>6840</v>
      </c>
      <c r="BA309" t="s">
        <v>506</v>
      </c>
      <c r="BB309">
        <v>22804784.969999999</v>
      </c>
      <c r="BC309">
        <v>22827234.630000003</v>
      </c>
      <c r="BD309">
        <v>759250</v>
      </c>
      <c r="BG309">
        <v>6840</v>
      </c>
      <c r="BH309" t="s">
        <v>506</v>
      </c>
      <c r="BI309">
        <v>0</v>
      </c>
      <c r="BJ309">
        <v>-2663.01</v>
      </c>
    </row>
    <row r="310" spans="1:62" x14ac:dyDescent="0.25">
      <c r="A310">
        <v>6762</v>
      </c>
      <c r="B310" t="s">
        <v>502</v>
      </c>
      <c r="C310">
        <v>0</v>
      </c>
      <c r="D310">
        <v>17769.939999999999</v>
      </c>
      <c r="E310">
        <v>6335866.3300000001</v>
      </c>
      <c r="F310">
        <v>6190366.1200000001</v>
      </c>
      <c r="G310">
        <v>255237</v>
      </c>
      <c r="H310">
        <v>0</v>
      </c>
      <c r="I310">
        <v>-146191.51</v>
      </c>
      <c r="J310">
        <v>6100977.1100000003</v>
      </c>
      <c r="K310">
        <v>6240012.5900000008</v>
      </c>
      <c r="L310">
        <v>294328</v>
      </c>
      <c r="M310">
        <v>0</v>
      </c>
      <c r="N310">
        <v>296355.65999999997</v>
      </c>
      <c r="O310">
        <v>6897465.79</v>
      </c>
      <c r="P310">
        <v>6482100.2799999993</v>
      </c>
      <c r="Q310">
        <v>304665</v>
      </c>
      <c r="R310">
        <v>0</v>
      </c>
      <c r="S310">
        <v>504163.28</v>
      </c>
      <c r="T310">
        <v>7176644.3099999996</v>
      </c>
      <c r="U310">
        <v>6916177.0499999998</v>
      </c>
      <c r="V310">
        <v>285627</v>
      </c>
      <c r="W310">
        <v>0</v>
      </c>
      <c r="X310">
        <v>106447.78</v>
      </c>
      <c r="Y310">
        <v>7121369.7000000002</v>
      </c>
      <c r="Z310">
        <v>7490605.4700000007</v>
      </c>
      <c r="AA310">
        <v>276319</v>
      </c>
      <c r="AB310">
        <v>0</v>
      </c>
      <c r="AC310">
        <v>124513.03</v>
      </c>
      <c r="AD310">
        <v>7784677.2599999998</v>
      </c>
      <c r="AE310">
        <v>7802000.8500000006</v>
      </c>
      <c r="AF310">
        <v>291344</v>
      </c>
      <c r="AZ310">
        <v>6854</v>
      </c>
      <c r="BA310" t="s">
        <v>507</v>
      </c>
      <c r="BB310">
        <v>6042008.5499999998</v>
      </c>
      <c r="BC310">
        <v>5981237.8699999992</v>
      </c>
      <c r="BD310">
        <v>220691</v>
      </c>
      <c r="BG310">
        <v>6854</v>
      </c>
      <c r="BH310" t="s">
        <v>507</v>
      </c>
      <c r="BI310">
        <v>0</v>
      </c>
      <c r="BJ310">
        <v>2425899.79</v>
      </c>
    </row>
    <row r="311" spans="1:62" x14ac:dyDescent="0.25">
      <c r="A311">
        <v>6768</v>
      </c>
      <c r="B311" t="s">
        <v>503</v>
      </c>
      <c r="C311">
        <v>0</v>
      </c>
      <c r="D311">
        <v>-1395799.04</v>
      </c>
      <c r="E311">
        <v>16509840.699999999</v>
      </c>
      <c r="F311">
        <v>16535516.220000001</v>
      </c>
      <c r="G311">
        <v>638141</v>
      </c>
      <c r="H311">
        <v>0</v>
      </c>
      <c r="I311">
        <v>-1518373.84</v>
      </c>
      <c r="J311">
        <v>17412145.579999998</v>
      </c>
      <c r="K311">
        <v>16976323.050000001</v>
      </c>
      <c r="L311">
        <v>717214</v>
      </c>
      <c r="M311">
        <v>0</v>
      </c>
      <c r="N311">
        <v>1139240.07</v>
      </c>
      <c r="O311">
        <v>18856802.18</v>
      </c>
      <c r="P311">
        <v>16150960.42</v>
      </c>
      <c r="Q311">
        <v>718584</v>
      </c>
      <c r="R311">
        <v>0</v>
      </c>
      <c r="S311">
        <v>4930554.45</v>
      </c>
      <c r="T311">
        <v>20218008.32</v>
      </c>
      <c r="U311">
        <v>16604797.510000002</v>
      </c>
      <c r="V311">
        <v>659786</v>
      </c>
      <c r="W311">
        <v>0</v>
      </c>
      <c r="X311">
        <v>3577259.72</v>
      </c>
      <c r="Y311">
        <v>18953639.09</v>
      </c>
      <c r="Z311">
        <v>20625662.410000004</v>
      </c>
      <c r="AA311">
        <v>679366</v>
      </c>
      <c r="AB311">
        <v>0</v>
      </c>
      <c r="AC311">
        <v>2523438.11</v>
      </c>
      <c r="AD311">
        <v>18588165.100000001</v>
      </c>
      <c r="AE311">
        <v>19151227.289999999</v>
      </c>
      <c r="AF311">
        <v>729555</v>
      </c>
      <c r="AZ311">
        <v>6867</v>
      </c>
      <c r="BA311" t="s">
        <v>508</v>
      </c>
      <c r="BB311">
        <v>18072566.309999999</v>
      </c>
      <c r="BC311">
        <v>18787606.41</v>
      </c>
      <c r="BD311">
        <v>626681</v>
      </c>
      <c r="BG311">
        <v>6867</v>
      </c>
      <c r="BH311" t="s">
        <v>508</v>
      </c>
      <c r="BI311">
        <v>0</v>
      </c>
      <c r="BJ311">
        <v>-124918.05</v>
      </c>
    </row>
    <row r="312" spans="1:62" x14ac:dyDescent="0.25">
      <c r="A312">
        <v>6795</v>
      </c>
      <c r="B312" t="s">
        <v>504</v>
      </c>
      <c r="C312">
        <v>0</v>
      </c>
      <c r="D312">
        <v>7707533.29</v>
      </c>
      <c r="E312">
        <v>103442634.40000001</v>
      </c>
      <c r="F312">
        <v>101270917.44000001</v>
      </c>
      <c r="G312">
        <v>4221658</v>
      </c>
      <c r="H312">
        <v>0</v>
      </c>
      <c r="I312">
        <v>5603561.4000000004</v>
      </c>
      <c r="J312">
        <v>107916966.55</v>
      </c>
      <c r="K312">
        <v>109422545.67</v>
      </c>
      <c r="L312">
        <v>4966096</v>
      </c>
      <c r="M312">
        <v>0</v>
      </c>
      <c r="N312">
        <v>3117027.86</v>
      </c>
      <c r="O312">
        <v>113844708.95999999</v>
      </c>
      <c r="P312">
        <v>110317491.44</v>
      </c>
      <c r="Q312">
        <v>5132642</v>
      </c>
      <c r="R312">
        <v>0</v>
      </c>
      <c r="S312">
        <v>342999.16</v>
      </c>
      <c r="T312">
        <v>116499678.84</v>
      </c>
      <c r="U312">
        <v>118705518.51000001</v>
      </c>
      <c r="V312">
        <v>4689160</v>
      </c>
      <c r="W312">
        <v>2223794.79</v>
      </c>
      <c r="X312">
        <v>579011.44999999995</v>
      </c>
      <c r="Y312">
        <v>118665669.56</v>
      </c>
      <c r="Z312">
        <v>123352576.62000002</v>
      </c>
      <c r="AA312">
        <v>4648080</v>
      </c>
      <c r="AB312">
        <v>0</v>
      </c>
      <c r="AC312">
        <v>4643878.8499999996</v>
      </c>
      <c r="AD312">
        <v>122450074.8</v>
      </c>
      <c r="AE312">
        <v>120183324.86000001</v>
      </c>
      <c r="AF312">
        <v>4896694</v>
      </c>
      <c r="AZ312">
        <v>6921</v>
      </c>
      <c r="BA312" t="s">
        <v>509</v>
      </c>
      <c r="BB312">
        <v>3717938.85</v>
      </c>
      <c r="BC312">
        <v>3600838.05</v>
      </c>
      <c r="BD312">
        <v>133573</v>
      </c>
      <c r="BG312">
        <v>6921</v>
      </c>
      <c r="BH312" t="s">
        <v>509</v>
      </c>
      <c r="BI312">
        <v>0</v>
      </c>
      <c r="BJ312">
        <v>774932.5</v>
      </c>
    </row>
    <row r="313" spans="1:62" x14ac:dyDescent="0.25">
      <c r="A313">
        <v>6822</v>
      </c>
      <c r="B313" t="s">
        <v>505</v>
      </c>
      <c r="C313">
        <v>0</v>
      </c>
      <c r="D313">
        <v>8823174.6999999993</v>
      </c>
      <c r="E313">
        <v>47964420.490000002</v>
      </c>
      <c r="F313">
        <v>46135811.220000006</v>
      </c>
      <c r="G313">
        <v>1922343</v>
      </c>
      <c r="H313">
        <v>0</v>
      </c>
      <c r="I313">
        <v>8490746.8800000008</v>
      </c>
      <c r="J313">
        <v>50981687.640000001</v>
      </c>
      <c r="K313">
        <v>51246632.669999994</v>
      </c>
      <c r="L313">
        <v>2306290</v>
      </c>
      <c r="M313">
        <v>0</v>
      </c>
      <c r="N313">
        <v>8767169.5600000005</v>
      </c>
      <c r="O313">
        <v>55575802.100000001</v>
      </c>
      <c r="P313">
        <v>54898525.530000001</v>
      </c>
      <c r="Q313">
        <v>2496394</v>
      </c>
      <c r="R313">
        <v>0</v>
      </c>
      <c r="S313">
        <v>10473056.539999999</v>
      </c>
      <c r="T313">
        <v>62506202</v>
      </c>
      <c r="U313">
        <v>60207253.439999998</v>
      </c>
      <c r="V313">
        <v>2573444</v>
      </c>
      <c r="W313">
        <v>0</v>
      </c>
      <c r="X313">
        <v>8794093.5700000003</v>
      </c>
      <c r="Y313">
        <v>63799982.090000004</v>
      </c>
      <c r="Z313">
        <v>65575317.909999989</v>
      </c>
      <c r="AA313">
        <v>2804317</v>
      </c>
      <c r="AB313">
        <v>0</v>
      </c>
      <c r="AC313">
        <v>6323937.6299999999</v>
      </c>
      <c r="AD313">
        <v>69975510.030000001</v>
      </c>
      <c r="AE313">
        <v>72862323.600000009</v>
      </c>
      <c r="AF313">
        <v>3141750</v>
      </c>
      <c r="AZ313">
        <v>6930</v>
      </c>
      <c r="BA313" t="s">
        <v>510</v>
      </c>
      <c r="BB313">
        <v>8613688.5</v>
      </c>
      <c r="BC313">
        <v>8413018.5899999999</v>
      </c>
      <c r="BD313">
        <v>300097</v>
      </c>
      <c r="BG313">
        <v>6930</v>
      </c>
      <c r="BH313" t="s">
        <v>510</v>
      </c>
      <c r="BI313">
        <v>2708.17</v>
      </c>
      <c r="BJ313">
        <v>921291.76</v>
      </c>
    </row>
    <row r="314" spans="1:62" x14ac:dyDescent="0.25">
      <c r="A314">
        <v>6840</v>
      </c>
      <c r="B314" t="s">
        <v>506</v>
      </c>
      <c r="C314">
        <v>0</v>
      </c>
      <c r="D314">
        <v>-736278.18</v>
      </c>
      <c r="E314">
        <v>17938475.350000001</v>
      </c>
      <c r="F314">
        <v>19797275.140000001</v>
      </c>
      <c r="G314">
        <v>688570</v>
      </c>
      <c r="H314">
        <v>0</v>
      </c>
      <c r="I314">
        <v>-1691036.83</v>
      </c>
      <c r="J314">
        <v>17828833.530000001</v>
      </c>
      <c r="K314">
        <v>18659625.920000002</v>
      </c>
      <c r="L314">
        <v>834410</v>
      </c>
      <c r="M314">
        <v>0</v>
      </c>
      <c r="N314">
        <v>-1710032.69</v>
      </c>
      <c r="O314">
        <v>19085046.260000002</v>
      </c>
      <c r="P314">
        <v>18972121.91</v>
      </c>
      <c r="Q314">
        <v>850882</v>
      </c>
      <c r="R314">
        <v>0</v>
      </c>
      <c r="S314">
        <v>-2083714.63</v>
      </c>
      <c r="T314">
        <v>19421129.449999999</v>
      </c>
      <c r="U314">
        <v>19669672.379999999</v>
      </c>
      <c r="V314">
        <v>781384</v>
      </c>
      <c r="W314">
        <v>0</v>
      </c>
      <c r="X314">
        <v>-2477453.0299999998</v>
      </c>
      <c r="Y314">
        <v>22267664.559999999</v>
      </c>
      <c r="Z314">
        <v>22530580.510000002</v>
      </c>
      <c r="AA314">
        <v>759250</v>
      </c>
      <c r="AB314">
        <v>0</v>
      </c>
      <c r="AC314">
        <v>-2537447.0699999998</v>
      </c>
      <c r="AD314">
        <v>22804784.969999999</v>
      </c>
      <c r="AE314">
        <v>22827234.630000003</v>
      </c>
      <c r="AF314">
        <v>822849</v>
      </c>
      <c r="AZ314">
        <v>6937</v>
      </c>
      <c r="BA314" t="s">
        <v>511</v>
      </c>
      <c r="BB314">
        <v>7909372.9900000002</v>
      </c>
      <c r="BC314">
        <v>7462044.0599999996</v>
      </c>
      <c r="BD314">
        <v>175990</v>
      </c>
      <c r="BG314">
        <v>6937</v>
      </c>
      <c r="BH314" t="s">
        <v>511</v>
      </c>
      <c r="BI314">
        <v>0</v>
      </c>
      <c r="BJ314">
        <v>1739109.88</v>
      </c>
    </row>
    <row r="315" spans="1:62" x14ac:dyDescent="0.25">
      <c r="A315">
        <v>6854</v>
      </c>
      <c r="B315" t="s">
        <v>507</v>
      </c>
      <c r="C315">
        <v>0</v>
      </c>
      <c r="D315">
        <v>750001.1</v>
      </c>
      <c r="E315">
        <v>6116840.9299999997</v>
      </c>
      <c r="F315">
        <v>5680268.6100000013</v>
      </c>
      <c r="G315">
        <v>201687</v>
      </c>
      <c r="H315">
        <v>0</v>
      </c>
      <c r="I315">
        <v>804839.22</v>
      </c>
      <c r="J315">
        <v>5644958.4400000004</v>
      </c>
      <c r="K315">
        <v>5509588.3400000008</v>
      </c>
      <c r="L315">
        <v>215339</v>
      </c>
      <c r="M315">
        <v>0</v>
      </c>
      <c r="N315">
        <v>1187764.52</v>
      </c>
      <c r="O315">
        <v>5840096.2800000003</v>
      </c>
      <c r="P315">
        <v>5344883.6800000006</v>
      </c>
      <c r="Q315">
        <v>218216</v>
      </c>
      <c r="R315">
        <v>0</v>
      </c>
      <c r="S315">
        <v>2414040.2200000002</v>
      </c>
      <c r="T315">
        <v>6855369.8300000001</v>
      </c>
      <c r="U315">
        <v>5637290.370000001</v>
      </c>
      <c r="V315">
        <v>224237</v>
      </c>
      <c r="W315">
        <v>0</v>
      </c>
      <c r="X315">
        <v>2489086.38</v>
      </c>
      <c r="Y315">
        <v>5909164.7699999996</v>
      </c>
      <c r="Z315">
        <v>5874758.1000000006</v>
      </c>
      <c r="AA315">
        <v>220691</v>
      </c>
      <c r="AB315">
        <v>0</v>
      </c>
      <c r="AC315">
        <v>2523568.0499999998</v>
      </c>
      <c r="AD315">
        <v>6042008.5499999998</v>
      </c>
      <c r="AE315">
        <v>5981237.8699999992</v>
      </c>
      <c r="AF315">
        <v>229818</v>
      </c>
      <c r="AZ315">
        <v>6943</v>
      </c>
      <c r="BA315" t="s">
        <v>512</v>
      </c>
      <c r="BB315">
        <v>3116557.62</v>
      </c>
      <c r="BC315">
        <v>3347119.2600000007</v>
      </c>
      <c r="BD315">
        <v>117318</v>
      </c>
      <c r="BG315">
        <v>6943</v>
      </c>
      <c r="BH315" t="s">
        <v>512</v>
      </c>
      <c r="BI315">
        <v>0</v>
      </c>
      <c r="BJ315">
        <v>-202594.17</v>
      </c>
    </row>
    <row r="316" spans="1:62" x14ac:dyDescent="0.25">
      <c r="A316">
        <v>6867</v>
      </c>
      <c r="B316" t="s">
        <v>508</v>
      </c>
      <c r="C316">
        <v>0</v>
      </c>
      <c r="D316">
        <v>361400.06</v>
      </c>
      <c r="E316">
        <v>15299350.199999999</v>
      </c>
      <c r="F316">
        <v>15652445.48</v>
      </c>
      <c r="G316">
        <v>589657</v>
      </c>
      <c r="H316">
        <v>0</v>
      </c>
      <c r="I316">
        <v>128104.77</v>
      </c>
      <c r="J316">
        <v>15275535.779999999</v>
      </c>
      <c r="K316">
        <v>15421889.629999997</v>
      </c>
      <c r="L316">
        <v>646097</v>
      </c>
      <c r="M316">
        <v>98871.3</v>
      </c>
      <c r="N316">
        <v>78769.67</v>
      </c>
      <c r="O316">
        <v>16028543.07</v>
      </c>
      <c r="P316">
        <v>15876079.279999997</v>
      </c>
      <c r="Q316">
        <v>650139</v>
      </c>
      <c r="R316">
        <v>0</v>
      </c>
      <c r="S316">
        <v>440889.97</v>
      </c>
      <c r="T316">
        <v>17274441.699999999</v>
      </c>
      <c r="U316">
        <v>17106444.02</v>
      </c>
      <c r="V316">
        <v>615864</v>
      </c>
      <c r="W316">
        <v>12198.35</v>
      </c>
      <c r="X316">
        <v>502217.99</v>
      </c>
      <c r="Y316">
        <v>17514088.120000001</v>
      </c>
      <c r="Z316">
        <v>17559794.32</v>
      </c>
      <c r="AA316">
        <v>626681</v>
      </c>
      <c r="AB316">
        <v>0</v>
      </c>
      <c r="AC316">
        <v>-327826.82</v>
      </c>
      <c r="AD316">
        <v>18072566.309999999</v>
      </c>
      <c r="AE316">
        <v>18787606.41</v>
      </c>
      <c r="AF316">
        <v>658973</v>
      </c>
      <c r="AZ316">
        <v>6264</v>
      </c>
      <c r="BA316" t="s">
        <v>513</v>
      </c>
      <c r="BB316">
        <v>9483897.7400000002</v>
      </c>
      <c r="BC316">
        <v>9231200.4399999995</v>
      </c>
      <c r="BD316">
        <v>349159</v>
      </c>
      <c r="BG316">
        <v>6264</v>
      </c>
      <c r="BH316" t="s">
        <v>513</v>
      </c>
      <c r="BI316">
        <v>0</v>
      </c>
      <c r="BJ316">
        <v>1543732.04</v>
      </c>
    </row>
    <row r="317" spans="1:62" x14ac:dyDescent="0.25">
      <c r="A317">
        <v>6921</v>
      </c>
      <c r="B317" t="s">
        <v>509</v>
      </c>
      <c r="C317">
        <v>0</v>
      </c>
      <c r="D317">
        <v>1008576.94</v>
      </c>
      <c r="E317">
        <v>3880133.85</v>
      </c>
      <c r="F317">
        <v>3383588.19</v>
      </c>
      <c r="G317">
        <v>127371</v>
      </c>
      <c r="H317">
        <v>0</v>
      </c>
      <c r="I317">
        <v>1027277.36</v>
      </c>
      <c r="J317">
        <v>3648518.03</v>
      </c>
      <c r="K317">
        <v>3673094.7600000002</v>
      </c>
      <c r="L317">
        <v>145131</v>
      </c>
      <c r="M317">
        <v>350000</v>
      </c>
      <c r="N317">
        <v>908991.77</v>
      </c>
      <c r="O317">
        <v>3753707.48</v>
      </c>
      <c r="P317">
        <v>3482737.3099999996</v>
      </c>
      <c r="Q317">
        <v>146811</v>
      </c>
      <c r="R317">
        <v>0</v>
      </c>
      <c r="S317">
        <v>852541.86</v>
      </c>
      <c r="T317">
        <v>3523310.64</v>
      </c>
      <c r="U317">
        <v>3540086.04</v>
      </c>
      <c r="V317">
        <v>130217</v>
      </c>
      <c r="W317">
        <v>0</v>
      </c>
      <c r="X317">
        <v>737060.33</v>
      </c>
      <c r="Y317">
        <v>3563889.5</v>
      </c>
      <c r="Z317">
        <v>3676749.12</v>
      </c>
      <c r="AA317">
        <v>133573</v>
      </c>
      <c r="AB317">
        <v>0</v>
      </c>
      <c r="AC317">
        <v>787598.92</v>
      </c>
      <c r="AD317">
        <v>3717938.85</v>
      </c>
      <c r="AE317">
        <v>3600838.05</v>
      </c>
      <c r="AF317">
        <v>137134</v>
      </c>
      <c r="AZ317">
        <v>6950</v>
      </c>
      <c r="BA317" t="s">
        <v>514</v>
      </c>
      <c r="BB317">
        <v>15522535.83</v>
      </c>
      <c r="BC317">
        <v>15216980.26</v>
      </c>
      <c r="BD317">
        <v>621656</v>
      </c>
      <c r="BG317">
        <v>6950</v>
      </c>
      <c r="BH317" t="s">
        <v>514</v>
      </c>
      <c r="BI317">
        <v>0</v>
      </c>
      <c r="BJ317">
        <v>3358326.85</v>
      </c>
    </row>
    <row r="318" spans="1:62" x14ac:dyDescent="0.25">
      <c r="A318">
        <v>6930</v>
      </c>
      <c r="B318" t="s">
        <v>510</v>
      </c>
      <c r="C318">
        <v>0</v>
      </c>
      <c r="D318">
        <v>899452.25</v>
      </c>
      <c r="E318">
        <v>6950358.29</v>
      </c>
      <c r="F318">
        <v>7133119.7600000007</v>
      </c>
      <c r="G318">
        <v>268952</v>
      </c>
      <c r="H318">
        <v>0</v>
      </c>
      <c r="I318">
        <v>621743.16</v>
      </c>
      <c r="J318">
        <v>7173313.0599999996</v>
      </c>
      <c r="K318">
        <v>7349411</v>
      </c>
      <c r="L318">
        <v>309998</v>
      </c>
      <c r="M318">
        <v>0</v>
      </c>
      <c r="N318">
        <v>866376.78</v>
      </c>
      <c r="O318">
        <v>7767101.1200000001</v>
      </c>
      <c r="P318">
        <v>7338466.1299999999</v>
      </c>
      <c r="Q318">
        <v>324731</v>
      </c>
      <c r="R318">
        <v>0</v>
      </c>
      <c r="S318">
        <v>1098641.02</v>
      </c>
      <c r="T318">
        <v>7943934.29</v>
      </c>
      <c r="U318">
        <v>7815763.1900000013</v>
      </c>
      <c r="V318">
        <v>300567</v>
      </c>
      <c r="W318">
        <v>11050</v>
      </c>
      <c r="X318">
        <v>901635.99</v>
      </c>
      <c r="Y318">
        <v>7982638.1399999997</v>
      </c>
      <c r="Z318">
        <v>8169871.9399999985</v>
      </c>
      <c r="AA318">
        <v>300097</v>
      </c>
      <c r="AB318">
        <v>3006.71</v>
      </c>
      <c r="AC318">
        <v>903348.29</v>
      </c>
      <c r="AD318">
        <v>8613688.5</v>
      </c>
      <c r="AE318">
        <v>8413018.5899999999</v>
      </c>
      <c r="AF318">
        <v>319717</v>
      </c>
      <c r="AZ318">
        <v>6957</v>
      </c>
      <c r="BA318" t="s">
        <v>515</v>
      </c>
      <c r="BB318">
        <v>92280690.109999999</v>
      </c>
      <c r="BC318">
        <v>96040976.310000002</v>
      </c>
      <c r="BD318">
        <v>3412956</v>
      </c>
      <c r="BG318">
        <v>6957</v>
      </c>
      <c r="BH318" t="s">
        <v>515</v>
      </c>
      <c r="BI318">
        <v>0</v>
      </c>
      <c r="BJ318">
        <v>9275045.3599999994</v>
      </c>
    </row>
    <row r="319" spans="1:62" x14ac:dyDescent="0.25">
      <c r="A319">
        <v>6937</v>
      </c>
      <c r="B319" t="s">
        <v>511</v>
      </c>
      <c r="C319">
        <v>0</v>
      </c>
      <c r="D319">
        <v>-51913.09</v>
      </c>
      <c r="E319">
        <v>6396130.7699999996</v>
      </c>
      <c r="F319">
        <v>6217495.169999999</v>
      </c>
      <c r="G319">
        <v>166586</v>
      </c>
      <c r="H319">
        <v>0</v>
      </c>
      <c r="I319">
        <v>143627.92000000001</v>
      </c>
      <c r="J319">
        <v>6587635.2800000003</v>
      </c>
      <c r="K319">
        <v>6370773.9700000007</v>
      </c>
      <c r="L319">
        <v>178872</v>
      </c>
      <c r="M319">
        <v>0</v>
      </c>
      <c r="N319">
        <v>274145.06</v>
      </c>
      <c r="O319">
        <v>6735004.0300000003</v>
      </c>
      <c r="P319">
        <v>6588577.8800000008</v>
      </c>
      <c r="Q319">
        <v>179847</v>
      </c>
      <c r="R319">
        <v>0</v>
      </c>
      <c r="S319">
        <v>540179.80000000005</v>
      </c>
      <c r="T319">
        <v>7038139.8799999999</v>
      </c>
      <c r="U319">
        <v>6753220.9100000001</v>
      </c>
      <c r="V319">
        <v>162907</v>
      </c>
      <c r="W319">
        <v>0</v>
      </c>
      <c r="X319">
        <v>858738.64</v>
      </c>
      <c r="Y319">
        <v>7593176.1600000001</v>
      </c>
      <c r="Z319">
        <v>7287089.4000000004</v>
      </c>
      <c r="AA319">
        <v>175990</v>
      </c>
      <c r="AB319">
        <v>0</v>
      </c>
      <c r="AC319">
        <v>1308472.08</v>
      </c>
      <c r="AD319">
        <v>7909372.9900000002</v>
      </c>
      <c r="AE319">
        <v>7462044.0599999996</v>
      </c>
      <c r="AF319">
        <v>192581</v>
      </c>
      <c r="AZ319">
        <v>5922</v>
      </c>
      <c r="BA319" t="s">
        <v>516</v>
      </c>
      <c r="BB319">
        <v>7423833.2300000004</v>
      </c>
      <c r="BC319">
        <v>7250364.3600000003</v>
      </c>
      <c r="BD319">
        <v>300387</v>
      </c>
      <c r="BG319">
        <v>5922</v>
      </c>
      <c r="BH319" t="s">
        <v>516</v>
      </c>
      <c r="BI319">
        <v>0</v>
      </c>
      <c r="BJ319">
        <v>2244887.61</v>
      </c>
    </row>
    <row r="320" spans="1:62" x14ac:dyDescent="0.25">
      <c r="A320">
        <v>6943</v>
      </c>
      <c r="B320" t="s">
        <v>512</v>
      </c>
      <c r="C320">
        <v>0</v>
      </c>
      <c r="D320">
        <v>938751.53</v>
      </c>
      <c r="E320">
        <v>3122811.58</v>
      </c>
      <c r="F320">
        <v>2897931.8699999996</v>
      </c>
      <c r="G320">
        <v>122544</v>
      </c>
      <c r="H320">
        <v>0</v>
      </c>
      <c r="I320">
        <v>766431.35</v>
      </c>
      <c r="J320">
        <v>2799771.98</v>
      </c>
      <c r="K320">
        <v>2942355.9800000004</v>
      </c>
      <c r="L320">
        <v>130188</v>
      </c>
      <c r="M320">
        <v>0</v>
      </c>
      <c r="N320">
        <v>622751.24</v>
      </c>
      <c r="O320">
        <v>2816718.03</v>
      </c>
      <c r="P320">
        <v>2947919.8500000006</v>
      </c>
      <c r="Q320">
        <v>131821</v>
      </c>
      <c r="R320">
        <v>0</v>
      </c>
      <c r="S320">
        <v>512028.57</v>
      </c>
      <c r="T320">
        <v>2991448.88</v>
      </c>
      <c r="U320">
        <v>3084059.13</v>
      </c>
      <c r="V320">
        <v>118144</v>
      </c>
      <c r="W320">
        <v>0</v>
      </c>
      <c r="X320">
        <v>92511.03</v>
      </c>
      <c r="Y320">
        <v>2787063.59</v>
      </c>
      <c r="Z320">
        <v>3217339.14</v>
      </c>
      <c r="AA320">
        <v>117318</v>
      </c>
      <c r="AB320">
        <v>0</v>
      </c>
      <c r="AC320">
        <v>-161262.31</v>
      </c>
      <c r="AD320">
        <v>3116557.62</v>
      </c>
      <c r="AE320">
        <v>3347119.2600000007</v>
      </c>
      <c r="AF320">
        <v>123321</v>
      </c>
      <c r="AZ320">
        <v>819</v>
      </c>
      <c r="BA320" t="s">
        <v>517</v>
      </c>
      <c r="BB320">
        <v>6369065.2800000003</v>
      </c>
      <c r="BC320">
        <v>6231033.0800000001</v>
      </c>
      <c r="BD320">
        <v>242057</v>
      </c>
      <c r="BG320">
        <v>819</v>
      </c>
      <c r="BH320" t="s">
        <v>517</v>
      </c>
      <c r="BI320">
        <v>0</v>
      </c>
      <c r="BJ320">
        <v>1742382.05</v>
      </c>
    </row>
    <row r="321" spans="1:62" x14ac:dyDescent="0.25">
      <c r="A321">
        <v>6264</v>
      </c>
      <c r="B321" t="s">
        <v>513</v>
      </c>
      <c r="C321">
        <v>0</v>
      </c>
      <c r="D321">
        <v>871728.66</v>
      </c>
      <c r="E321">
        <v>9309139.8200000003</v>
      </c>
      <c r="F321">
        <v>8472852.7599999998</v>
      </c>
      <c r="G321">
        <v>344252</v>
      </c>
      <c r="H321">
        <v>0</v>
      </c>
      <c r="I321">
        <v>1255146.6100000001</v>
      </c>
      <c r="J321">
        <v>8973452.4199999999</v>
      </c>
      <c r="K321">
        <v>8434746.2800000012</v>
      </c>
      <c r="L321">
        <v>368318</v>
      </c>
      <c r="M321">
        <v>0</v>
      </c>
      <c r="N321">
        <v>1345249.75</v>
      </c>
      <c r="O321">
        <v>9927385.8499999996</v>
      </c>
      <c r="P321">
        <v>9502883.4299999997</v>
      </c>
      <c r="Q321">
        <v>382935</v>
      </c>
      <c r="R321">
        <v>0</v>
      </c>
      <c r="S321">
        <v>1833060.1</v>
      </c>
      <c r="T321">
        <v>9613803.5199999996</v>
      </c>
      <c r="U321">
        <v>9206006.5600000024</v>
      </c>
      <c r="V321">
        <v>347122</v>
      </c>
      <c r="W321">
        <v>0</v>
      </c>
      <c r="X321">
        <v>2253604.54</v>
      </c>
      <c r="Y321">
        <v>9299415.7899999991</v>
      </c>
      <c r="Z321">
        <v>9127007.8899999987</v>
      </c>
      <c r="AA321">
        <v>349159</v>
      </c>
      <c r="AB321">
        <v>0</v>
      </c>
      <c r="AC321">
        <v>2332253.85</v>
      </c>
      <c r="AD321">
        <v>9483897.7400000002</v>
      </c>
      <c r="AE321">
        <v>9231200.4399999995</v>
      </c>
      <c r="AF321">
        <v>358567</v>
      </c>
      <c r="AZ321">
        <v>6969</v>
      </c>
      <c r="BA321" t="s">
        <v>518</v>
      </c>
      <c r="BB321">
        <v>4812805.72</v>
      </c>
      <c r="BC321">
        <v>4777283.4600000009</v>
      </c>
      <c r="BD321">
        <v>178097</v>
      </c>
      <c r="BG321">
        <v>6969</v>
      </c>
      <c r="BH321" t="s">
        <v>518</v>
      </c>
      <c r="BI321">
        <v>0</v>
      </c>
      <c r="BJ321">
        <v>1032650.53</v>
      </c>
    </row>
    <row r="322" spans="1:62" x14ac:dyDescent="0.25">
      <c r="A322">
        <v>6950</v>
      </c>
      <c r="B322" t="s">
        <v>514</v>
      </c>
      <c r="C322">
        <v>0</v>
      </c>
      <c r="D322">
        <v>105417.3</v>
      </c>
      <c r="E322">
        <v>14526205.5</v>
      </c>
      <c r="F322">
        <v>14603776.5</v>
      </c>
      <c r="G322">
        <v>609219</v>
      </c>
      <c r="H322">
        <v>0</v>
      </c>
      <c r="I322">
        <v>232129.88</v>
      </c>
      <c r="J322">
        <v>14516955.92</v>
      </c>
      <c r="K322">
        <v>14302691.740000002</v>
      </c>
      <c r="L322">
        <v>681550</v>
      </c>
      <c r="M322">
        <v>0</v>
      </c>
      <c r="N322">
        <v>946322.58</v>
      </c>
      <c r="O322">
        <v>15117699.779999999</v>
      </c>
      <c r="P322">
        <v>14387264.560000001</v>
      </c>
      <c r="Q322">
        <v>685085</v>
      </c>
      <c r="R322">
        <v>0</v>
      </c>
      <c r="S322">
        <v>2242413.7599999998</v>
      </c>
      <c r="T322">
        <v>15939045.210000001</v>
      </c>
      <c r="U322">
        <v>14544283.959999999</v>
      </c>
      <c r="V322">
        <v>620680</v>
      </c>
      <c r="W322">
        <v>0</v>
      </c>
      <c r="X322">
        <v>2577805.04</v>
      </c>
      <c r="Y322">
        <v>15468793.49</v>
      </c>
      <c r="Z322">
        <v>15008596.74</v>
      </c>
      <c r="AA322">
        <v>621656</v>
      </c>
      <c r="AB322">
        <v>0</v>
      </c>
      <c r="AC322">
        <v>2832747.84</v>
      </c>
      <c r="AD322">
        <v>15522535.83</v>
      </c>
      <c r="AE322">
        <v>15216980.26</v>
      </c>
      <c r="AF322">
        <v>648810</v>
      </c>
      <c r="AZ322">
        <v>6975</v>
      </c>
      <c r="BA322" t="s">
        <v>519</v>
      </c>
      <c r="BB322">
        <v>12932709.67</v>
      </c>
      <c r="BC322">
        <v>12197508.390000001</v>
      </c>
      <c r="BD322">
        <v>465507</v>
      </c>
      <c r="BG322">
        <v>6975</v>
      </c>
      <c r="BH322" t="s">
        <v>519</v>
      </c>
      <c r="BI322">
        <v>53974.62</v>
      </c>
      <c r="BJ322">
        <v>1535139.5</v>
      </c>
    </row>
    <row r="323" spans="1:62" x14ac:dyDescent="0.25">
      <c r="A323">
        <v>6957</v>
      </c>
      <c r="B323" t="s">
        <v>515</v>
      </c>
      <c r="C323">
        <v>7200000</v>
      </c>
      <c r="D323">
        <v>3700810.46</v>
      </c>
      <c r="E323">
        <v>83228541.409999996</v>
      </c>
      <c r="F323">
        <v>84730249.450000003</v>
      </c>
      <c r="G323">
        <v>3155238</v>
      </c>
      <c r="H323">
        <v>7000000</v>
      </c>
      <c r="I323">
        <v>590289.67000000004</v>
      </c>
      <c r="J323">
        <v>84290035.120000005</v>
      </c>
      <c r="K323">
        <v>87099418.170000017</v>
      </c>
      <c r="L323">
        <v>3453536</v>
      </c>
      <c r="M323">
        <v>0</v>
      </c>
      <c r="N323">
        <v>12256837.130000001</v>
      </c>
      <c r="O323">
        <v>92464850.329999998</v>
      </c>
      <c r="P323">
        <v>87922521.060000002</v>
      </c>
      <c r="Q323">
        <v>3545137</v>
      </c>
      <c r="R323">
        <v>0</v>
      </c>
      <c r="S323">
        <v>17524142.23</v>
      </c>
      <c r="T323">
        <v>96029291.180000007</v>
      </c>
      <c r="U323">
        <v>90287257.890000001</v>
      </c>
      <c r="V323">
        <v>3308641</v>
      </c>
      <c r="W323">
        <v>0</v>
      </c>
      <c r="X323">
        <v>14480521.35</v>
      </c>
      <c r="Y323">
        <v>93460562.560000002</v>
      </c>
      <c r="Z323">
        <v>94997977.86999999</v>
      </c>
      <c r="AA323">
        <v>3412956</v>
      </c>
      <c r="AB323">
        <v>0</v>
      </c>
      <c r="AC323">
        <v>9312710.3599999994</v>
      </c>
      <c r="AD323">
        <v>92280690.109999999</v>
      </c>
      <c r="AE323">
        <v>96040976.310000002</v>
      </c>
      <c r="AF323">
        <v>3593711</v>
      </c>
      <c r="AZ323">
        <v>6983</v>
      </c>
      <c r="BA323" t="s">
        <v>520</v>
      </c>
      <c r="BB323">
        <v>8064014.5800000001</v>
      </c>
      <c r="BC323">
        <v>7955569.379999999</v>
      </c>
      <c r="BD323">
        <v>316669</v>
      </c>
      <c r="BG323">
        <v>6983</v>
      </c>
      <c r="BH323" t="s">
        <v>520</v>
      </c>
      <c r="BI323">
        <v>0</v>
      </c>
      <c r="BJ323">
        <v>1662885.26</v>
      </c>
    </row>
    <row r="324" spans="1:62" x14ac:dyDescent="0.25">
      <c r="A324">
        <v>5922</v>
      </c>
      <c r="B324" t="s">
        <v>516</v>
      </c>
      <c r="C324">
        <v>0</v>
      </c>
      <c r="D324">
        <v>324340.53999999998</v>
      </c>
      <c r="E324">
        <v>4973324.5999999996</v>
      </c>
      <c r="F324">
        <v>4730425.16</v>
      </c>
      <c r="G324">
        <v>173870</v>
      </c>
      <c r="H324">
        <v>0</v>
      </c>
      <c r="I324">
        <v>443434.74</v>
      </c>
      <c r="J324">
        <v>4893542.05</v>
      </c>
      <c r="K324">
        <v>4711692.6099999994</v>
      </c>
      <c r="L324">
        <v>197413</v>
      </c>
      <c r="M324">
        <v>0</v>
      </c>
      <c r="N324">
        <v>821161</v>
      </c>
      <c r="O324">
        <v>5072310.8</v>
      </c>
      <c r="P324">
        <v>4690155.4999999991</v>
      </c>
      <c r="Q324">
        <v>197859</v>
      </c>
      <c r="R324">
        <v>0</v>
      </c>
      <c r="S324">
        <v>1615435.14</v>
      </c>
      <c r="T324">
        <v>7709335.6100000003</v>
      </c>
      <c r="U324">
        <v>7349565.2400000002</v>
      </c>
      <c r="V324">
        <v>311991</v>
      </c>
      <c r="W324">
        <v>0</v>
      </c>
      <c r="X324">
        <v>2407452.2200000002</v>
      </c>
      <c r="Y324">
        <v>7709586.7300000004</v>
      </c>
      <c r="Z324">
        <v>7048948.7999999998</v>
      </c>
      <c r="AA324">
        <v>300387</v>
      </c>
      <c r="AB324">
        <v>0</v>
      </c>
      <c r="AC324">
        <v>2627107.2000000002</v>
      </c>
      <c r="AD324">
        <v>7423833.2300000004</v>
      </c>
      <c r="AE324">
        <v>7250364.3600000003</v>
      </c>
      <c r="AF324">
        <v>309017</v>
      </c>
      <c r="AZ324">
        <v>6985</v>
      </c>
      <c r="BA324" t="s">
        <v>521</v>
      </c>
      <c r="BB324">
        <v>8528018.0700000003</v>
      </c>
      <c r="BC324">
        <v>8315617.4400000004</v>
      </c>
      <c r="BD324">
        <v>343131</v>
      </c>
      <c r="BG324">
        <v>6985</v>
      </c>
      <c r="BH324" t="s">
        <v>521</v>
      </c>
      <c r="BI324">
        <v>0</v>
      </c>
      <c r="BJ324">
        <v>3141069.81</v>
      </c>
    </row>
    <row r="325" spans="1:62" x14ac:dyDescent="0.25">
      <c r="A325">
        <v>819</v>
      </c>
      <c r="B325" t="s">
        <v>517</v>
      </c>
      <c r="C325">
        <v>0</v>
      </c>
      <c r="D325">
        <v>2024838.78</v>
      </c>
      <c r="E325">
        <v>5740187.3799999999</v>
      </c>
      <c r="F325">
        <v>5483308.4799999995</v>
      </c>
      <c r="G325">
        <v>221704</v>
      </c>
      <c r="H325">
        <v>0</v>
      </c>
      <c r="I325">
        <v>1441244.85</v>
      </c>
      <c r="J325">
        <v>5272267.6100000003</v>
      </c>
      <c r="K325">
        <v>5763266.9800000004</v>
      </c>
      <c r="L325">
        <v>253004</v>
      </c>
      <c r="M325">
        <v>0</v>
      </c>
      <c r="N325">
        <v>1458037.84</v>
      </c>
      <c r="O325">
        <v>5854291.3700000001</v>
      </c>
      <c r="P325">
        <v>5810452.9399999995</v>
      </c>
      <c r="Q325">
        <v>258771</v>
      </c>
      <c r="R325">
        <v>0</v>
      </c>
      <c r="S325">
        <v>1615224.68</v>
      </c>
      <c r="T325">
        <v>6339012.0099999998</v>
      </c>
      <c r="U325">
        <v>6112766.1500000004</v>
      </c>
      <c r="V325">
        <v>241824</v>
      </c>
      <c r="W325">
        <v>0</v>
      </c>
      <c r="X325">
        <v>1862586.2</v>
      </c>
      <c r="Y325">
        <v>6252605.2699999996</v>
      </c>
      <c r="Z325">
        <v>5973843.5899999999</v>
      </c>
      <c r="AA325">
        <v>242057</v>
      </c>
      <c r="AB325">
        <v>0</v>
      </c>
      <c r="AC325">
        <v>1901103.77</v>
      </c>
      <c r="AD325">
        <v>6369065.2800000003</v>
      </c>
      <c r="AE325">
        <v>6231033.0800000001</v>
      </c>
      <c r="AF325">
        <v>248131</v>
      </c>
      <c r="AZ325">
        <v>6987</v>
      </c>
      <c r="BA325" t="s">
        <v>522</v>
      </c>
      <c r="BB325">
        <v>7401942.5300000003</v>
      </c>
      <c r="BC325">
        <v>7315428.9700000007</v>
      </c>
      <c r="BD325">
        <v>286743</v>
      </c>
      <c r="BG325">
        <v>6987</v>
      </c>
      <c r="BH325" t="s">
        <v>522</v>
      </c>
      <c r="BI325">
        <v>0</v>
      </c>
      <c r="BJ325">
        <v>677411.81</v>
      </c>
    </row>
    <row r="326" spans="1:62" x14ac:dyDescent="0.25">
      <c r="A326">
        <v>6969</v>
      </c>
      <c r="B326" t="s">
        <v>518</v>
      </c>
      <c r="C326">
        <v>1923.58</v>
      </c>
      <c r="D326">
        <v>298981.32</v>
      </c>
      <c r="E326">
        <v>5294898.41</v>
      </c>
      <c r="F326">
        <v>4998068.7299999995</v>
      </c>
      <c r="G326">
        <v>180983</v>
      </c>
      <c r="H326">
        <v>2400.6799999999998</v>
      </c>
      <c r="I326">
        <v>452333.52</v>
      </c>
      <c r="J326">
        <v>5143097.82</v>
      </c>
      <c r="K326">
        <v>4961489.7399999993</v>
      </c>
      <c r="L326">
        <v>198572</v>
      </c>
      <c r="M326">
        <v>0</v>
      </c>
      <c r="N326">
        <v>853381.38</v>
      </c>
      <c r="O326">
        <v>5688673</v>
      </c>
      <c r="P326">
        <v>5305221.0999999996</v>
      </c>
      <c r="Q326">
        <v>205388</v>
      </c>
      <c r="R326">
        <v>0</v>
      </c>
      <c r="S326">
        <v>1017045.79</v>
      </c>
      <c r="T326">
        <v>5486047.8899999997</v>
      </c>
      <c r="U326">
        <v>5297338.1999999993</v>
      </c>
      <c r="V326">
        <v>180598</v>
      </c>
      <c r="W326">
        <v>0</v>
      </c>
      <c r="X326">
        <v>867556.95</v>
      </c>
      <c r="Y326">
        <v>4963739.5</v>
      </c>
      <c r="Z326">
        <v>5112843.4699999988</v>
      </c>
      <c r="AA326">
        <v>178097</v>
      </c>
      <c r="AB326">
        <v>0</v>
      </c>
      <c r="AC326">
        <v>866449.84</v>
      </c>
      <c r="AD326">
        <v>4812805.72</v>
      </c>
      <c r="AE326">
        <v>4777283.4600000009</v>
      </c>
      <c r="AF326">
        <v>182285</v>
      </c>
      <c r="AZ326">
        <v>6990</v>
      </c>
      <c r="BA326" t="s">
        <v>523</v>
      </c>
      <c r="BB326">
        <v>8079507.6200000001</v>
      </c>
      <c r="BC326">
        <v>8066210.3899999997</v>
      </c>
      <c r="BD326">
        <v>274328</v>
      </c>
      <c r="BG326">
        <v>6990</v>
      </c>
      <c r="BH326" t="s">
        <v>523</v>
      </c>
      <c r="BI326">
        <v>0</v>
      </c>
      <c r="BJ326">
        <v>1485206.9</v>
      </c>
    </row>
    <row r="327" spans="1:62" x14ac:dyDescent="0.25">
      <c r="A327">
        <v>6975</v>
      </c>
      <c r="B327" t="s">
        <v>519</v>
      </c>
      <c r="C327">
        <v>51038.93</v>
      </c>
      <c r="D327">
        <v>326388.95</v>
      </c>
      <c r="E327">
        <v>10365975.48</v>
      </c>
      <c r="F327">
        <v>10941385.49</v>
      </c>
      <c r="G327">
        <v>413549</v>
      </c>
      <c r="H327">
        <v>0</v>
      </c>
      <c r="I327">
        <v>-559695.35</v>
      </c>
      <c r="J327">
        <v>11166390.460000001</v>
      </c>
      <c r="K327">
        <v>12034825</v>
      </c>
      <c r="L327">
        <v>473195</v>
      </c>
      <c r="M327">
        <v>0</v>
      </c>
      <c r="N327">
        <v>-678520.42</v>
      </c>
      <c r="O327">
        <v>11634748.310000001</v>
      </c>
      <c r="P327">
        <v>11761787.890000001</v>
      </c>
      <c r="Q327">
        <v>480501</v>
      </c>
      <c r="R327">
        <v>0</v>
      </c>
      <c r="S327">
        <v>-205831.08</v>
      </c>
      <c r="T327">
        <v>12226785.1</v>
      </c>
      <c r="U327">
        <v>11811549.24</v>
      </c>
      <c r="V327">
        <v>446757</v>
      </c>
      <c r="W327">
        <v>0</v>
      </c>
      <c r="X327">
        <v>20168.45</v>
      </c>
      <c r="Y327">
        <v>12392922.189999999</v>
      </c>
      <c r="Z327">
        <v>12167794.57</v>
      </c>
      <c r="AA327">
        <v>465507</v>
      </c>
      <c r="AB327">
        <v>46275.66</v>
      </c>
      <c r="AC327">
        <v>800368.74</v>
      </c>
      <c r="AD327">
        <v>12932709.67</v>
      </c>
      <c r="AE327">
        <v>12197508.390000001</v>
      </c>
      <c r="AF327">
        <v>475003</v>
      </c>
      <c r="AZ327">
        <v>6961</v>
      </c>
      <c r="BA327" t="s">
        <v>524</v>
      </c>
      <c r="BB327">
        <v>33348762.390000001</v>
      </c>
      <c r="BC327">
        <v>31892745.020000003</v>
      </c>
      <c r="BD327">
        <v>1318329</v>
      </c>
      <c r="BG327">
        <v>6961</v>
      </c>
      <c r="BH327" t="s">
        <v>524</v>
      </c>
      <c r="BI327">
        <v>0</v>
      </c>
      <c r="BJ327">
        <v>6215019.0099999998</v>
      </c>
    </row>
    <row r="328" spans="1:62" x14ac:dyDescent="0.25">
      <c r="A328">
        <v>6983</v>
      </c>
      <c r="B328" t="s">
        <v>520</v>
      </c>
      <c r="C328">
        <v>0</v>
      </c>
      <c r="D328">
        <v>766499.87</v>
      </c>
      <c r="E328">
        <v>6038124.1600000001</v>
      </c>
      <c r="F328">
        <v>5943916.5800000001</v>
      </c>
      <c r="G328">
        <v>263849</v>
      </c>
      <c r="H328">
        <v>0</v>
      </c>
      <c r="I328">
        <v>749729.68</v>
      </c>
      <c r="J328">
        <v>6344981.1799999997</v>
      </c>
      <c r="K328">
        <v>6302396.5399999991</v>
      </c>
      <c r="L328">
        <v>305564</v>
      </c>
      <c r="M328">
        <v>0</v>
      </c>
      <c r="N328">
        <v>1038140.67</v>
      </c>
      <c r="O328">
        <v>6914554.3700000001</v>
      </c>
      <c r="P328">
        <v>6518729.3700000001</v>
      </c>
      <c r="Q328">
        <v>313350</v>
      </c>
      <c r="R328">
        <v>0</v>
      </c>
      <c r="S328">
        <v>1095600.48</v>
      </c>
      <c r="T328">
        <v>7099936.7599999998</v>
      </c>
      <c r="U328">
        <v>6880356.25</v>
      </c>
      <c r="V328">
        <v>294837</v>
      </c>
      <c r="W328">
        <v>0</v>
      </c>
      <c r="X328">
        <v>1186531.22</v>
      </c>
      <c r="Y328">
        <v>7439414.2999999998</v>
      </c>
      <c r="Z328">
        <v>7221370.8499999996</v>
      </c>
      <c r="AA328">
        <v>316669</v>
      </c>
      <c r="AB328">
        <v>0</v>
      </c>
      <c r="AC328">
        <v>1281930.3400000001</v>
      </c>
      <c r="AD328">
        <v>8064014.5800000001</v>
      </c>
      <c r="AE328">
        <v>7955569.379999999</v>
      </c>
      <c r="AF328">
        <v>345914</v>
      </c>
      <c r="AZ328">
        <v>6992</v>
      </c>
      <c r="BA328" t="s">
        <v>525</v>
      </c>
      <c r="BB328">
        <v>6485560.1699999999</v>
      </c>
      <c r="BC328">
        <v>6111597.1999999993</v>
      </c>
      <c r="BD328">
        <v>216520</v>
      </c>
      <c r="BG328">
        <v>6992</v>
      </c>
      <c r="BH328" t="s">
        <v>525</v>
      </c>
      <c r="BI328">
        <v>0</v>
      </c>
      <c r="BJ328">
        <v>1268779.56</v>
      </c>
    </row>
    <row r="329" spans="1:62" x14ac:dyDescent="0.25">
      <c r="A329">
        <v>6985</v>
      </c>
      <c r="B329" t="s">
        <v>521</v>
      </c>
      <c r="C329">
        <v>0</v>
      </c>
      <c r="D329">
        <v>2745257.85</v>
      </c>
      <c r="E329">
        <v>7868720.6799999997</v>
      </c>
      <c r="F329">
        <v>7473466.2700000005</v>
      </c>
      <c r="G329">
        <v>325177</v>
      </c>
      <c r="H329">
        <v>0</v>
      </c>
      <c r="I329">
        <v>2413740.31</v>
      </c>
      <c r="J329">
        <v>7518925.0599999996</v>
      </c>
      <c r="K329">
        <v>7801830.2199999988</v>
      </c>
      <c r="L329">
        <v>372205</v>
      </c>
      <c r="M329">
        <v>0</v>
      </c>
      <c r="N329">
        <v>2538828.75</v>
      </c>
      <c r="O329">
        <v>8060748.6799999997</v>
      </c>
      <c r="P329">
        <v>7959964.3399999999</v>
      </c>
      <c r="Q329">
        <v>383743</v>
      </c>
      <c r="R329">
        <v>0</v>
      </c>
      <c r="S329">
        <v>2470012.41</v>
      </c>
      <c r="T329">
        <v>8179572.6399999997</v>
      </c>
      <c r="U329">
        <v>8233642.6500000004</v>
      </c>
      <c r="V329">
        <v>350121</v>
      </c>
      <c r="W329">
        <v>0</v>
      </c>
      <c r="X329">
        <v>2454037.71</v>
      </c>
      <c r="Y329">
        <v>8225362.9500000002</v>
      </c>
      <c r="Z329">
        <v>8239543.4499999993</v>
      </c>
      <c r="AA329">
        <v>343131</v>
      </c>
      <c r="AB329">
        <v>0</v>
      </c>
      <c r="AC329">
        <v>2590812.38</v>
      </c>
      <c r="AD329">
        <v>8528018.0700000003</v>
      </c>
      <c r="AE329">
        <v>8315617.4400000004</v>
      </c>
      <c r="AF329">
        <v>352060</v>
      </c>
      <c r="AZ329">
        <v>7002</v>
      </c>
      <c r="BA329" t="s">
        <v>526</v>
      </c>
      <c r="BB329">
        <v>2611931.1</v>
      </c>
      <c r="BC329">
        <v>2572321.31</v>
      </c>
      <c r="BD329">
        <v>71888</v>
      </c>
      <c r="BG329">
        <v>7002</v>
      </c>
      <c r="BH329" t="s">
        <v>526</v>
      </c>
      <c r="BI329">
        <v>0</v>
      </c>
      <c r="BJ329">
        <v>336221.77</v>
      </c>
    </row>
    <row r="330" spans="1:62" x14ac:dyDescent="0.25">
      <c r="A330">
        <v>6987</v>
      </c>
      <c r="B330" t="s">
        <v>522</v>
      </c>
      <c r="C330">
        <v>11697.71</v>
      </c>
      <c r="D330">
        <v>813000.5</v>
      </c>
      <c r="E330">
        <v>6513700.3200000003</v>
      </c>
      <c r="F330">
        <v>6291663.9299999997</v>
      </c>
      <c r="G330">
        <v>251829</v>
      </c>
      <c r="H330">
        <v>16635.900000000001</v>
      </c>
      <c r="I330">
        <v>795444.02</v>
      </c>
      <c r="J330">
        <v>6454834.2699999996</v>
      </c>
      <c r="K330">
        <v>6393427</v>
      </c>
      <c r="L330">
        <v>278577</v>
      </c>
      <c r="M330">
        <v>0</v>
      </c>
      <c r="N330">
        <v>680732.88</v>
      </c>
      <c r="O330">
        <v>7053369.2199999997</v>
      </c>
      <c r="P330">
        <v>7059067.2800000003</v>
      </c>
      <c r="Q330">
        <v>288042</v>
      </c>
      <c r="R330">
        <v>0</v>
      </c>
      <c r="S330">
        <v>605566.04</v>
      </c>
      <c r="T330">
        <v>7350668.8399999999</v>
      </c>
      <c r="U330">
        <v>7413643.5499999998</v>
      </c>
      <c r="V330">
        <v>272496</v>
      </c>
      <c r="W330">
        <v>0</v>
      </c>
      <c r="X330">
        <v>423788.97</v>
      </c>
      <c r="Y330">
        <v>7492724.3300000001</v>
      </c>
      <c r="Z330">
        <v>7571305.9099999983</v>
      </c>
      <c r="AA330">
        <v>286743</v>
      </c>
      <c r="AB330">
        <v>0</v>
      </c>
      <c r="AC330">
        <v>425061.59</v>
      </c>
      <c r="AD330">
        <v>7401942.5300000003</v>
      </c>
      <c r="AE330">
        <v>7315428.9700000007</v>
      </c>
      <c r="AF330">
        <v>293948</v>
      </c>
      <c r="AZ330">
        <v>7029</v>
      </c>
      <c r="BA330" t="s">
        <v>527</v>
      </c>
      <c r="BB330">
        <v>11503158.65</v>
      </c>
      <c r="BC330">
        <v>12069640.299999999</v>
      </c>
      <c r="BD330">
        <v>421305</v>
      </c>
      <c r="BG330">
        <v>7029</v>
      </c>
      <c r="BH330" t="s">
        <v>527</v>
      </c>
      <c r="BI330">
        <v>0</v>
      </c>
      <c r="BJ330">
        <v>1021655.23</v>
      </c>
    </row>
    <row r="331" spans="1:62" x14ac:dyDescent="0.25">
      <c r="A331">
        <v>6990</v>
      </c>
      <c r="B331" t="s">
        <v>523</v>
      </c>
      <c r="C331">
        <v>0</v>
      </c>
      <c r="D331">
        <v>-985683.18</v>
      </c>
      <c r="E331">
        <v>6857155.5099999998</v>
      </c>
      <c r="F331">
        <v>7107109.1499999994</v>
      </c>
      <c r="G331">
        <v>271270</v>
      </c>
      <c r="H331">
        <v>2479.2600000000002</v>
      </c>
      <c r="I331">
        <v>86275.57</v>
      </c>
      <c r="J331">
        <v>8027094.2400000002</v>
      </c>
      <c r="K331">
        <v>6892992.6600000001</v>
      </c>
      <c r="L331">
        <v>302706</v>
      </c>
      <c r="M331">
        <v>16827.89</v>
      </c>
      <c r="N331">
        <v>1061558.24</v>
      </c>
      <c r="O331">
        <v>7598118.6699999999</v>
      </c>
      <c r="P331">
        <v>6516140.6199999992</v>
      </c>
      <c r="Q331">
        <v>307914</v>
      </c>
      <c r="R331">
        <v>0</v>
      </c>
      <c r="S331">
        <v>1819170.91</v>
      </c>
      <c r="T331">
        <v>7765336.9400000004</v>
      </c>
      <c r="U331">
        <v>7155356.9699999997</v>
      </c>
      <c r="V331">
        <v>273872</v>
      </c>
      <c r="W331">
        <v>0</v>
      </c>
      <c r="X331">
        <v>1721938.66</v>
      </c>
      <c r="Y331">
        <v>7270351.46</v>
      </c>
      <c r="Z331">
        <v>7459530.2100000009</v>
      </c>
      <c r="AA331">
        <v>274328</v>
      </c>
      <c r="AB331">
        <v>0</v>
      </c>
      <c r="AC331">
        <v>1735143.54</v>
      </c>
      <c r="AD331">
        <v>8079507.6200000001</v>
      </c>
      <c r="AE331">
        <v>8066210.3899999997</v>
      </c>
      <c r="AF331">
        <v>309968</v>
      </c>
      <c r="AZ331">
        <v>7038</v>
      </c>
      <c r="BA331" t="s">
        <v>528</v>
      </c>
      <c r="BB331">
        <v>7841676.1399999997</v>
      </c>
      <c r="BC331">
        <v>8119570.2300000004</v>
      </c>
      <c r="BD331">
        <v>299973</v>
      </c>
      <c r="BG331">
        <v>7038</v>
      </c>
      <c r="BH331" t="s">
        <v>528</v>
      </c>
      <c r="BI331">
        <v>263621.78999999998</v>
      </c>
      <c r="BJ331">
        <v>1352118.08</v>
      </c>
    </row>
    <row r="332" spans="1:62" x14ac:dyDescent="0.25">
      <c r="A332">
        <v>6961</v>
      </c>
      <c r="B332" t="s">
        <v>524</v>
      </c>
      <c r="C332">
        <v>0</v>
      </c>
      <c r="D332">
        <v>1365338.86</v>
      </c>
      <c r="E332">
        <v>26565861.140000001</v>
      </c>
      <c r="F332">
        <v>25250395.77</v>
      </c>
      <c r="G332">
        <v>1168250</v>
      </c>
      <c r="H332">
        <v>0</v>
      </c>
      <c r="I332">
        <v>1301670.79</v>
      </c>
      <c r="J332">
        <v>27726556.23</v>
      </c>
      <c r="K332">
        <v>27775166.189999998</v>
      </c>
      <c r="L332">
        <v>1296569</v>
      </c>
      <c r="M332">
        <v>0</v>
      </c>
      <c r="N332">
        <v>2230016.08</v>
      </c>
      <c r="O332">
        <v>30017789.350000001</v>
      </c>
      <c r="P332">
        <v>29035199.620000005</v>
      </c>
      <c r="Q332">
        <v>1342368</v>
      </c>
      <c r="R332">
        <v>0</v>
      </c>
      <c r="S332">
        <v>3314806.9</v>
      </c>
      <c r="T332">
        <v>31394773.84</v>
      </c>
      <c r="U332">
        <v>30163806.079999998</v>
      </c>
      <c r="V332">
        <v>1265458</v>
      </c>
      <c r="W332">
        <v>0</v>
      </c>
      <c r="X332">
        <v>3293990.8</v>
      </c>
      <c r="Y332">
        <v>31270380.309999999</v>
      </c>
      <c r="Z332">
        <v>31340639.389999997</v>
      </c>
      <c r="AA332">
        <v>1318329</v>
      </c>
      <c r="AB332">
        <v>0</v>
      </c>
      <c r="AC332">
        <v>4662288.97</v>
      </c>
      <c r="AD332">
        <v>33348762.390000001</v>
      </c>
      <c r="AE332">
        <v>31892745.020000003</v>
      </c>
      <c r="AF332">
        <v>1399889</v>
      </c>
      <c r="AZ332">
        <v>7047</v>
      </c>
      <c r="BA332" t="s">
        <v>529</v>
      </c>
      <c r="BB332">
        <v>4323730.5199999996</v>
      </c>
      <c r="BC332">
        <v>4278038.84</v>
      </c>
      <c r="BD332">
        <v>134315</v>
      </c>
      <c r="BG332">
        <v>7047</v>
      </c>
      <c r="BH332" t="s">
        <v>529</v>
      </c>
      <c r="BI332">
        <v>0</v>
      </c>
      <c r="BJ332">
        <v>848051.43</v>
      </c>
    </row>
    <row r="333" spans="1:62" x14ac:dyDescent="0.25">
      <c r="A333">
        <v>6992</v>
      </c>
      <c r="B333" t="s">
        <v>525</v>
      </c>
      <c r="C333">
        <v>0</v>
      </c>
      <c r="D333">
        <v>575441.22</v>
      </c>
      <c r="E333">
        <v>5964744.1200000001</v>
      </c>
      <c r="F333">
        <v>6099725.2400000002</v>
      </c>
      <c r="G333">
        <v>221081</v>
      </c>
      <c r="H333">
        <v>0</v>
      </c>
      <c r="I333">
        <v>226265.08</v>
      </c>
      <c r="J333">
        <v>5767386.7699999996</v>
      </c>
      <c r="K333">
        <v>6110023.1499999994</v>
      </c>
      <c r="L333">
        <v>240805</v>
      </c>
      <c r="M333">
        <v>0</v>
      </c>
      <c r="N333">
        <v>229013.31</v>
      </c>
      <c r="O333">
        <v>6128513.3300000001</v>
      </c>
      <c r="P333">
        <v>6060326.290000001</v>
      </c>
      <c r="Q333">
        <v>241413</v>
      </c>
      <c r="R333">
        <v>0</v>
      </c>
      <c r="S333">
        <v>661176.32999999996</v>
      </c>
      <c r="T333">
        <v>6504358.5</v>
      </c>
      <c r="U333">
        <v>6043480.7100000009</v>
      </c>
      <c r="V333">
        <v>217778</v>
      </c>
      <c r="W333">
        <v>0</v>
      </c>
      <c r="X333">
        <v>511658.65</v>
      </c>
      <c r="Y333">
        <v>6342866.7199999997</v>
      </c>
      <c r="Z333">
        <v>6342604.3700000001</v>
      </c>
      <c r="AA333">
        <v>216520</v>
      </c>
      <c r="AB333">
        <v>0</v>
      </c>
      <c r="AC333">
        <v>866451.99</v>
      </c>
      <c r="AD333">
        <v>6485560.1699999999</v>
      </c>
      <c r="AE333">
        <v>6111597.1999999993</v>
      </c>
      <c r="AF333">
        <v>224451</v>
      </c>
      <c r="AZ333">
        <v>7056</v>
      </c>
      <c r="BA333" t="s">
        <v>530</v>
      </c>
      <c r="BB333">
        <v>18402421.57</v>
      </c>
      <c r="BC333">
        <v>16995882.789999999</v>
      </c>
      <c r="BD333">
        <v>627636</v>
      </c>
      <c r="BG333">
        <v>7056</v>
      </c>
      <c r="BH333" t="s">
        <v>530</v>
      </c>
      <c r="BI333">
        <v>0</v>
      </c>
      <c r="BJ333">
        <v>4187210.85</v>
      </c>
    </row>
    <row r="334" spans="1:62" x14ac:dyDescent="0.25">
      <c r="A334">
        <v>7002</v>
      </c>
      <c r="B334" t="s">
        <v>526</v>
      </c>
      <c r="C334">
        <v>0</v>
      </c>
      <c r="D334">
        <v>728602.89</v>
      </c>
      <c r="E334">
        <v>2423009.4500000002</v>
      </c>
      <c r="F334">
        <v>2362709.52</v>
      </c>
      <c r="G334">
        <v>74758</v>
      </c>
      <c r="H334">
        <v>0</v>
      </c>
      <c r="I334">
        <v>716265.41</v>
      </c>
      <c r="J334">
        <v>2376475.84</v>
      </c>
      <c r="K334">
        <v>2388813.3199999998</v>
      </c>
      <c r="L334">
        <v>80219</v>
      </c>
      <c r="M334">
        <v>0</v>
      </c>
      <c r="N334">
        <v>649914.11</v>
      </c>
      <c r="O334">
        <v>2342302.5099999998</v>
      </c>
      <c r="P334">
        <v>2408653.81</v>
      </c>
      <c r="Q334">
        <v>80641</v>
      </c>
      <c r="R334">
        <v>0</v>
      </c>
      <c r="S334">
        <v>495955.9</v>
      </c>
      <c r="T334">
        <v>2353116.96</v>
      </c>
      <c r="U334">
        <v>2507075.1700000004</v>
      </c>
      <c r="V334">
        <v>71721</v>
      </c>
      <c r="W334">
        <v>0</v>
      </c>
      <c r="X334">
        <v>332744.53000000003</v>
      </c>
      <c r="Y334">
        <v>2419838.61</v>
      </c>
      <c r="Z334">
        <v>2583049.9800000004</v>
      </c>
      <c r="AA334">
        <v>71888</v>
      </c>
      <c r="AB334">
        <v>0</v>
      </c>
      <c r="AC334">
        <v>353419.64</v>
      </c>
      <c r="AD334">
        <v>2611931.1</v>
      </c>
      <c r="AE334">
        <v>2572321.31</v>
      </c>
      <c r="AF334">
        <v>80188</v>
      </c>
      <c r="AZ334">
        <v>7092</v>
      </c>
      <c r="BA334" t="s">
        <v>531</v>
      </c>
      <c r="BB334">
        <v>5003378.3499999996</v>
      </c>
      <c r="BC334">
        <v>4985345.99</v>
      </c>
      <c r="BD334">
        <v>160733</v>
      </c>
      <c r="BG334">
        <v>7092</v>
      </c>
      <c r="BH334" t="s">
        <v>531</v>
      </c>
      <c r="BI334">
        <v>0</v>
      </c>
      <c r="BJ334">
        <v>420082.28</v>
      </c>
    </row>
    <row r="335" spans="1:62" x14ac:dyDescent="0.25">
      <c r="A335">
        <v>7029</v>
      </c>
      <c r="B335" t="s">
        <v>527</v>
      </c>
      <c r="C335">
        <v>0</v>
      </c>
      <c r="D335">
        <v>1529173.13</v>
      </c>
      <c r="E335">
        <v>10268234.59</v>
      </c>
      <c r="F335">
        <v>9793531.0699999984</v>
      </c>
      <c r="G335">
        <v>393646</v>
      </c>
      <c r="H335">
        <v>0</v>
      </c>
      <c r="I335">
        <v>1508608.12</v>
      </c>
      <c r="J335">
        <v>10242459.41</v>
      </c>
      <c r="K335">
        <v>10173062.5</v>
      </c>
      <c r="L335">
        <v>434225</v>
      </c>
      <c r="M335">
        <v>0</v>
      </c>
      <c r="N335">
        <v>2020496.81</v>
      </c>
      <c r="O335">
        <v>11184541.539999999</v>
      </c>
      <c r="P335">
        <v>10621084.699999999</v>
      </c>
      <c r="Q335">
        <v>462762</v>
      </c>
      <c r="R335">
        <v>9103.31</v>
      </c>
      <c r="S335">
        <v>2375846.2200000002</v>
      </c>
      <c r="T335">
        <v>11461024.57</v>
      </c>
      <c r="U335">
        <v>10995323.039999999</v>
      </c>
      <c r="V335">
        <v>421717</v>
      </c>
      <c r="W335">
        <v>0</v>
      </c>
      <c r="X335">
        <v>2085514.21</v>
      </c>
      <c r="Y335">
        <v>11259981.689999999</v>
      </c>
      <c r="Z335">
        <v>11591995.179999998</v>
      </c>
      <c r="AA335">
        <v>421305</v>
      </c>
      <c r="AB335">
        <v>0</v>
      </c>
      <c r="AC335">
        <v>1406781.5</v>
      </c>
      <c r="AD335">
        <v>11503158.65</v>
      </c>
      <c r="AE335">
        <v>12069640.299999999</v>
      </c>
      <c r="AF335">
        <v>449720</v>
      </c>
      <c r="AZ335">
        <v>7098</v>
      </c>
      <c r="BA335" t="s">
        <v>532</v>
      </c>
      <c r="BB335">
        <v>6402141.1200000001</v>
      </c>
      <c r="BC335">
        <v>6157646.169999999</v>
      </c>
      <c r="BD335">
        <v>229549</v>
      </c>
      <c r="BG335">
        <v>7098</v>
      </c>
      <c r="BH335" t="s">
        <v>532</v>
      </c>
      <c r="BI335">
        <v>0</v>
      </c>
      <c r="BJ335">
        <v>1028580.83</v>
      </c>
    </row>
    <row r="336" spans="1:62" x14ac:dyDescent="0.25">
      <c r="A336">
        <v>7038</v>
      </c>
      <c r="B336" t="s">
        <v>528</v>
      </c>
      <c r="C336">
        <v>150000</v>
      </c>
      <c r="D336">
        <v>1387221.76</v>
      </c>
      <c r="E336">
        <v>8173039.3300000001</v>
      </c>
      <c r="F336">
        <v>7971629.8600000003</v>
      </c>
      <c r="G336">
        <v>313332</v>
      </c>
      <c r="H336">
        <v>163078.73000000001</v>
      </c>
      <c r="I336">
        <v>1205469.73</v>
      </c>
      <c r="J336">
        <v>7844407.5899999999</v>
      </c>
      <c r="K336">
        <v>8002366.3300000001</v>
      </c>
      <c r="L336">
        <v>334015</v>
      </c>
      <c r="M336">
        <v>256091.72</v>
      </c>
      <c r="N336">
        <v>1338225.82</v>
      </c>
      <c r="O336">
        <v>8242555.7000000002</v>
      </c>
      <c r="P336">
        <v>7978153.1499999994</v>
      </c>
      <c r="Q336">
        <v>331288</v>
      </c>
      <c r="R336">
        <v>259227.28</v>
      </c>
      <c r="S336">
        <v>1449168.07</v>
      </c>
      <c r="T336">
        <v>8111178.4299999997</v>
      </c>
      <c r="U336">
        <v>8029601.8200000003</v>
      </c>
      <c r="V336">
        <v>298248</v>
      </c>
      <c r="W336">
        <v>263389.24</v>
      </c>
      <c r="X336">
        <v>1122842.6000000001</v>
      </c>
      <c r="Y336">
        <v>7779978.4900000002</v>
      </c>
      <c r="Z336">
        <v>8108444.580000001</v>
      </c>
      <c r="AA336">
        <v>299973</v>
      </c>
      <c r="AB336">
        <v>270233.02</v>
      </c>
      <c r="AC336">
        <v>830263.49</v>
      </c>
      <c r="AD336">
        <v>7841676.1399999997</v>
      </c>
      <c r="AE336">
        <v>8119570.2300000004</v>
      </c>
      <c r="AF336">
        <v>308921</v>
      </c>
      <c r="AZ336">
        <v>7110</v>
      </c>
      <c r="BA336" t="s">
        <v>533</v>
      </c>
      <c r="BB336">
        <v>12941396.98</v>
      </c>
      <c r="BC336">
        <v>13564701.129999999</v>
      </c>
      <c r="BD336">
        <v>319167</v>
      </c>
      <c r="BG336">
        <v>7110</v>
      </c>
      <c r="BH336" t="s">
        <v>533</v>
      </c>
      <c r="BI336">
        <v>0</v>
      </c>
      <c r="BJ336">
        <v>1177698.1499999999</v>
      </c>
    </row>
    <row r="337" spans="1:32" x14ac:dyDescent="0.25">
      <c r="A337">
        <v>7047</v>
      </c>
      <c r="B337" t="s">
        <v>529</v>
      </c>
      <c r="C337">
        <v>0</v>
      </c>
      <c r="D337">
        <v>951313.38</v>
      </c>
      <c r="E337">
        <v>3880751.24</v>
      </c>
      <c r="F337">
        <v>3587294.7800000003</v>
      </c>
      <c r="G337">
        <v>130649</v>
      </c>
      <c r="H337">
        <v>0</v>
      </c>
      <c r="I337">
        <v>842647.81</v>
      </c>
      <c r="J337">
        <v>3745439.52</v>
      </c>
      <c r="K337">
        <v>3759298.2200000007</v>
      </c>
      <c r="L337">
        <v>148645</v>
      </c>
      <c r="M337">
        <v>0</v>
      </c>
      <c r="N337">
        <v>872178.79</v>
      </c>
      <c r="O337">
        <v>4063505.18</v>
      </c>
      <c r="P337">
        <v>4059470.69</v>
      </c>
      <c r="Q337">
        <v>149583</v>
      </c>
      <c r="R337">
        <v>0</v>
      </c>
      <c r="S337">
        <v>863605.57</v>
      </c>
      <c r="T337">
        <v>4029220.4</v>
      </c>
      <c r="U337">
        <v>4065429.8500000006</v>
      </c>
      <c r="V337">
        <v>135791</v>
      </c>
      <c r="W337">
        <v>0</v>
      </c>
      <c r="X337">
        <v>842952.4</v>
      </c>
      <c r="Y337">
        <v>4136969.03</v>
      </c>
      <c r="Z337">
        <v>4172730.6599999997</v>
      </c>
      <c r="AA337">
        <v>134315</v>
      </c>
      <c r="AB337">
        <v>0</v>
      </c>
      <c r="AC337">
        <v>779973.24</v>
      </c>
      <c r="AD337">
        <v>4323730.5199999996</v>
      </c>
      <c r="AE337">
        <v>4278038.84</v>
      </c>
      <c r="AF337">
        <v>143515</v>
      </c>
    </row>
    <row r="338" spans="1:32" x14ac:dyDescent="0.25">
      <c r="A338">
        <v>7056</v>
      </c>
      <c r="B338" t="s">
        <v>530</v>
      </c>
      <c r="C338">
        <v>0</v>
      </c>
      <c r="D338">
        <v>-1776535.23</v>
      </c>
      <c r="E338">
        <v>14662269.27</v>
      </c>
      <c r="F338">
        <v>15839835.51</v>
      </c>
      <c r="G338">
        <v>600552</v>
      </c>
      <c r="H338">
        <v>0</v>
      </c>
      <c r="I338">
        <v>-2285524.7400000002</v>
      </c>
      <c r="J338">
        <v>15521979.550000001</v>
      </c>
      <c r="K338">
        <v>16023619.899999999</v>
      </c>
      <c r="L338">
        <v>663689</v>
      </c>
      <c r="M338">
        <v>0</v>
      </c>
      <c r="N338">
        <v>-890643.68</v>
      </c>
      <c r="O338">
        <v>17192196.239999998</v>
      </c>
      <c r="P338">
        <v>15798945.420000002</v>
      </c>
      <c r="Q338">
        <v>669527</v>
      </c>
      <c r="R338">
        <v>0</v>
      </c>
      <c r="S338">
        <v>392931.28</v>
      </c>
      <c r="T338">
        <v>17750324.800000001</v>
      </c>
      <c r="U338">
        <v>16451373.719999999</v>
      </c>
      <c r="V338">
        <v>617057</v>
      </c>
      <c r="W338">
        <v>0</v>
      </c>
      <c r="X338">
        <v>1752363.73</v>
      </c>
      <c r="Y338">
        <v>17645707.329999998</v>
      </c>
      <c r="Z338">
        <v>16331010.759999998</v>
      </c>
      <c r="AA338">
        <v>627636</v>
      </c>
      <c r="AB338">
        <v>0</v>
      </c>
      <c r="AC338">
        <v>3194861.18</v>
      </c>
      <c r="AD338">
        <v>18402421.57</v>
      </c>
      <c r="AE338">
        <v>16995882.789999999</v>
      </c>
      <c r="AF338">
        <v>651394</v>
      </c>
    </row>
    <row r="339" spans="1:32" x14ac:dyDescent="0.25">
      <c r="A339">
        <v>7092</v>
      </c>
      <c r="B339" t="s">
        <v>531</v>
      </c>
      <c r="C339">
        <v>0</v>
      </c>
      <c r="D339">
        <v>-325328.93</v>
      </c>
      <c r="E339">
        <v>4593556.07</v>
      </c>
      <c r="F339">
        <v>4756451.8399999989</v>
      </c>
      <c r="G339">
        <v>164166</v>
      </c>
      <c r="H339">
        <v>0</v>
      </c>
      <c r="I339">
        <v>-420504.54</v>
      </c>
      <c r="J339">
        <v>4469703.3899999997</v>
      </c>
      <c r="K339">
        <v>4519337.05</v>
      </c>
      <c r="L339">
        <v>177587</v>
      </c>
      <c r="M339">
        <v>0</v>
      </c>
      <c r="N339">
        <v>-111156.04</v>
      </c>
      <c r="O339">
        <v>4843383.53</v>
      </c>
      <c r="P339">
        <v>4515970.8099999996</v>
      </c>
      <c r="Q339">
        <v>179277</v>
      </c>
      <c r="R339">
        <v>0</v>
      </c>
      <c r="S339">
        <v>185859.21</v>
      </c>
      <c r="T339">
        <v>4692776.0599999996</v>
      </c>
      <c r="U339">
        <v>4396066.8600000003</v>
      </c>
      <c r="V339">
        <v>158974</v>
      </c>
      <c r="W339">
        <v>0</v>
      </c>
      <c r="X339">
        <v>542916.6</v>
      </c>
      <c r="Y339">
        <v>5026130.38</v>
      </c>
      <c r="Z339">
        <v>4622772.1999999993</v>
      </c>
      <c r="AA339">
        <v>160733</v>
      </c>
      <c r="AB339">
        <v>0</v>
      </c>
      <c r="AC339">
        <v>490182.78</v>
      </c>
      <c r="AD339">
        <v>5003378.3499999996</v>
      </c>
      <c r="AE339">
        <v>4985345.99</v>
      </c>
      <c r="AF339">
        <v>166180</v>
      </c>
    </row>
    <row r="340" spans="1:32" x14ac:dyDescent="0.25">
      <c r="A340">
        <v>7098</v>
      </c>
      <c r="B340" t="s">
        <v>532</v>
      </c>
      <c r="C340">
        <v>0</v>
      </c>
      <c r="D340">
        <v>-58278.06</v>
      </c>
      <c r="E340">
        <v>5351003.6900000004</v>
      </c>
      <c r="F340">
        <v>5355063.92</v>
      </c>
      <c r="G340">
        <v>212060</v>
      </c>
      <c r="H340">
        <v>0</v>
      </c>
      <c r="I340">
        <v>41595.51</v>
      </c>
      <c r="J340">
        <v>5379927.8899999997</v>
      </c>
      <c r="K340">
        <v>5251373.8599999994</v>
      </c>
      <c r="L340">
        <v>232029</v>
      </c>
      <c r="M340">
        <v>0</v>
      </c>
      <c r="N340">
        <v>677658.35</v>
      </c>
      <c r="O340">
        <v>5956416.2199999997</v>
      </c>
      <c r="P340">
        <v>5214237.8900000006</v>
      </c>
      <c r="Q340">
        <v>235704</v>
      </c>
      <c r="R340">
        <v>0</v>
      </c>
      <c r="S340">
        <v>606027.71</v>
      </c>
      <c r="T340">
        <v>5874475.4500000002</v>
      </c>
      <c r="U340">
        <v>5855929.1399999997</v>
      </c>
      <c r="V340">
        <v>216500</v>
      </c>
      <c r="W340">
        <v>0</v>
      </c>
      <c r="X340">
        <v>742708.54</v>
      </c>
      <c r="Y340">
        <v>6030837.8399999999</v>
      </c>
      <c r="Z340">
        <v>5916506.4400000004</v>
      </c>
      <c r="AA340">
        <v>229549</v>
      </c>
      <c r="AB340">
        <v>0</v>
      </c>
      <c r="AC340">
        <v>932900.9</v>
      </c>
      <c r="AD340">
        <v>6402141.1200000001</v>
      </c>
      <c r="AE340">
        <v>6157646.169999999</v>
      </c>
      <c r="AF340">
        <v>239401</v>
      </c>
    </row>
    <row r="341" spans="1:32" x14ac:dyDescent="0.25">
      <c r="A341">
        <v>7110</v>
      </c>
      <c r="B341" t="s">
        <v>533</v>
      </c>
      <c r="C341">
        <v>0</v>
      </c>
      <c r="D341">
        <v>438837.33</v>
      </c>
      <c r="E341">
        <v>10338563.449999999</v>
      </c>
      <c r="F341">
        <v>10199292.77</v>
      </c>
      <c r="G341">
        <v>270262</v>
      </c>
      <c r="H341">
        <v>0</v>
      </c>
      <c r="I341">
        <v>715592.61</v>
      </c>
      <c r="J341">
        <v>10856113.310000001</v>
      </c>
      <c r="K341">
        <v>10518116.029999999</v>
      </c>
      <c r="L341">
        <v>305777</v>
      </c>
      <c r="M341">
        <v>0</v>
      </c>
      <c r="N341">
        <v>1245414.77</v>
      </c>
      <c r="O341">
        <v>11035234.210000001</v>
      </c>
      <c r="P341">
        <v>10485174.339999998</v>
      </c>
      <c r="Q341">
        <v>306467</v>
      </c>
      <c r="R341">
        <v>0</v>
      </c>
      <c r="S341">
        <v>1565585.17</v>
      </c>
      <c r="T341">
        <v>12060101.289999999</v>
      </c>
      <c r="U341">
        <v>11595338.709999999</v>
      </c>
      <c r="V341">
        <v>299111</v>
      </c>
      <c r="W341">
        <v>0</v>
      </c>
      <c r="X341">
        <v>1893325.15</v>
      </c>
      <c r="Y341">
        <v>12715331.449999999</v>
      </c>
      <c r="Z341">
        <v>12334300.59</v>
      </c>
      <c r="AA341">
        <v>319167</v>
      </c>
      <c r="AB341">
        <v>0</v>
      </c>
      <c r="AC341">
        <v>1405503.16</v>
      </c>
      <c r="AD341">
        <v>12941396.98</v>
      </c>
      <c r="AE341">
        <v>13564701.129999999</v>
      </c>
      <c r="AF341">
        <v>333939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D336"/>
  <sheetViews>
    <sheetView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3" sqref="A3:X3"/>
    </sheetView>
  </sheetViews>
  <sheetFormatPr defaultRowHeight="15" x14ac:dyDescent="0.25"/>
  <cols>
    <col min="2" max="2" width="30.85546875" bestFit="1" customWidth="1" collapsed="1"/>
    <col min="32" max="32" width="15.7109375" bestFit="1" customWidth="1" collapsed="1"/>
    <col min="33" max="33" width="15.28515625" bestFit="1" customWidth="1" collapsed="1"/>
  </cols>
  <sheetData>
    <row r="1" spans="1:56" x14ac:dyDescent="0.25">
      <c r="C1" t="s">
        <v>585</v>
      </c>
      <c r="D1" t="s">
        <v>585</v>
      </c>
      <c r="E1" t="s">
        <v>585</v>
      </c>
      <c r="F1" t="s">
        <v>585</v>
      </c>
      <c r="G1" t="s">
        <v>585</v>
      </c>
      <c r="H1" t="s">
        <v>585</v>
      </c>
      <c r="I1" t="s">
        <v>585</v>
      </c>
      <c r="J1" t="s">
        <v>586</v>
      </c>
      <c r="K1" t="s">
        <v>586</v>
      </c>
      <c r="L1" t="s">
        <v>586</v>
      </c>
      <c r="M1" t="s">
        <v>586</v>
      </c>
      <c r="N1" t="s">
        <v>586</v>
      </c>
      <c r="O1" t="s">
        <v>586</v>
      </c>
      <c r="P1" t="s">
        <v>586</v>
      </c>
      <c r="Q1" t="s">
        <v>587</v>
      </c>
      <c r="R1" t="s">
        <v>587</v>
      </c>
      <c r="S1" t="s">
        <v>587</v>
      </c>
      <c r="T1" t="s">
        <v>587</v>
      </c>
      <c r="U1" t="s">
        <v>587</v>
      </c>
      <c r="V1" t="s">
        <v>587</v>
      </c>
      <c r="W1" t="s">
        <v>587</v>
      </c>
      <c r="X1" t="s">
        <v>588</v>
      </c>
      <c r="Y1" t="s">
        <v>588</v>
      </c>
      <c r="Z1" t="s">
        <v>588</v>
      </c>
      <c r="AA1" t="s">
        <v>588</v>
      </c>
      <c r="AB1" t="s">
        <v>588</v>
      </c>
      <c r="AC1" t="s">
        <v>588</v>
      </c>
      <c r="AD1" t="s">
        <v>588</v>
      </c>
      <c r="AF1" t="s">
        <v>586</v>
      </c>
      <c r="AG1" t="s">
        <v>586</v>
      </c>
      <c r="AH1" t="s">
        <v>586</v>
      </c>
      <c r="AI1" t="s">
        <v>586</v>
      </c>
      <c r="AJ1" t="s">
        <v>586</v>
      </c>
      <c r="AK1" t="s">
        <v>586</v>
      </c>
      <c r="AL1" t="s">
        <v>587</v>
      </c>
      <c r="AM1" t="s">
        <v>587</v>
      </c>
      <c r="AN1" t="s">
        <v>587</v>
      </c>
      <c r="AO1" t="s">
        <v>587</v>
      </c>
      <c r="AP1" t="s">
        <v>587</v>
      </c>
      <c r="AQ1" t="s">
        <v>587</v>
      </c>
      <c r="AR1" t="s">
        <v>588</v>
      </c>
      <c r="AS1" t="s">
        <v>588</v>
      </c>
      <c r="AT1" t="s">
        <v>588</v>
      </c>
      <c r="AU1" t="s">
        <v>588</v>
      </c>
      <c r="AV1" t="s">
        <v>588</v>
      </c>
      <c r="AW1" t="s">
        <v>588</v>
      </c>
      <c r="BA1">
        <v>1</v>
      </c>
      <c r="BB1">
        <v>2</v>
      </c>
      <c r="BC1">
        <v>3</v>
      </c>
      <c r="BD1">
        <v>7</v>
      </c>
    </row>
    <row r="2" spans="1:56" x14ac:dyDescent="0.25"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35</v>
      </c>
      <c r="K2" t="s">
        <v>36</v>
      </c>
      <c r="L2" t="s">
        <v>37</v>
      </c>
      <c r="M2" t="s">
        <v>38</v>
      </c>
      <c r="N2" t="s">
        <v>39</v>
      </c>
      <c r="O2" t="s">
        <v>40</v>
      </c>
      <c r="P2" t="s">
        <v>41</v>
      </c>
      <c r="Q2" t="s">
        <v>35</v>
      </c>
      <c r="R2" t="s">
        <v>36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35</v>
      </c>
      <c r="Y2" t="s">
        <v>36</v>
      </c>
      <c r="Z2" t="s">
        <v>37</v>
      </c>
      <c r="AA2" t="s">
        <v>38</v>
      </c>
      <c r="AB2" t="s">
        <v>39</v>
      </c>
      <c r="AC2" t="s">
        <v>40</v>
      </c>
      <c r="AD2" t="s">
        <v>41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589</v>
      </c>
      <c r="AM2" t="s">
        <v>590</v>
      </c>
      <c r="AN2" t="s">
        <v>591</v>
      </c>
      <c r="AO2" t="s">
        <v>592</v>
      </c>
      <c r="AP2" t="s">
        <v>593</v>
      </c>
      <c r="AQ2" t="s">
        <v>594</v>
      </c>
      <c r="AR2" t="s">
        <v>589</v>
      </c>
      <c r="AS2" t="s">
        <v>590</v>
      </c>
      <c r="AT2" t="s">
        <v>591</v>
      </c>
      <c r="AU2" t="s">
        <v>592</v>
      </c>
      <c r="AV2" t="s">
        <v>593</v>
      </c>
      <c r="AW2" t="s">
        <v>594</v>
      </c>
    </row>
    <row r="3" spans="1:56" x14ac:dyDescent="0.25">
      <c r="A3">
        <v>9</v>
      </c>
      <c r="B3" t="s">
        <v>197</v>
      </c>
      <c r="C3">
        <v>9.6847899999999996</v>
      </c>
      <c r="D3">
        <v>0.31254999999999999</v>
      </c>
      <c r="E3">
        <v>0.32955000000000001</v>
      </c>
      <c r="F3">
        <v>0.17307</v>
      </c>
      <c r="G3">
        <v>0</v>
      </c>
      <c r="H3">
        <v>0</v>
      </c>
      <c r="I3">
        <v>0</v>
      </c>
      <c r="J3">
        <v>9.3243399999999994</v>
      </c>
      <c r="K3">
        <v>0.63449</v>
      </c>
      <c r="L3">
        <v>0</v>
      </c>
      <c r="M3">
        <v>0.43608999999999998</v>
      </c>
      <c r="N3">
        <v>0</v>
      </c>
      <c r="O3">
        <v>0</v>
      </c>
      <c r="P3">
        <v>0</v>
      </c>
      <c r="Q3">
        <v>9.6957100000000001</v>
      </c>
      <c r="R3">
        <v>0.66437999999999997</v>
      </c>
      <c r="S3">
        <v>0</v>
      </c>
      <c r="T3">
        <v>0.43939</v>
      </c>
      <c r="U3">
        <v>0</v>
      </c>
      <c r="V3">
        <v>0</v>
      </c>
      <c r="W3">
        <v>0</v>
      </c>
      <c r="X3">
        <v>10.6023</v>
      </c>
      <c r="Y3">
        <v>1.3228899999999999</v>
      </c>
      <c r="Z3">
        <v>0</v>
      </c>
      <c r="AA3">
        <v>0.45915</v>
      </c>
      <c r="AB3">
        <v>0</v>
      </c>
      <c r="AC3">
        <v>0</v>
      </c>
      <c r="AD3">
        <v>0</v>
      </c>
      <c r="AF3">
        <v>0</v>
      </c>
      <c r="AG3">
        <v>0</v>
      </c>
      <c r="AH3">
        <v>0</v>
      </c>
      <c r="AI3">
        <v>0</v>
      </c>
      <c r="AJ3">
        <v>0.08</v>
      </c>
      <c r="AK3">
        <v>295475</v>
      </c>
      <c r="AL3">
        <v>0</v>
      </c>
      <c r="AM3">
        <v>0</v>
      </c>
      <c r="AN3">
        <v>0</v>
      </c>
      <c r="AO3">
        <v>0</v>
      </c>
      <c r="AP3">
        <v>0.08</v>
      </c>
      <c r="AQ3">
        <v>280033</v>
      </c>
      <c r="AR3">
        <v>0</v>
      </c>
      <c r="AS3">
        <v>0</v>
      </c>
      <c r="AT3">
        <v>0</v>
      </c>
      <c r="AU3">
        <v>0</v>
      </c>
      <c r="AV3">
        <v>0.08</v>
      </c>
      <c r="AW3">
        <v>273368</v>
      </c>
      <c r="BA3" t="s">
        <v>616</v>
      </c>
      <c r="BB3" t="s">
        <v>617</v>
      </c>
      <c r="BC3" t="s">
        <v>618</v>
      </c>
      <c r="BD3" t="s">
        <v>619</v>
      </c>
    </row>
    <row r="4" spans="1:56" x14ac:dyDescent="0.25">
      <c r="A4">
        <v>18</v>
      </c>
      <c r="B4" t="s">
        <v>195</v>
      </c>
      <c r="C4">
        <v>9.5258800000000008</v>
      </c>
      <c r="D4">
        <v>0.68705000000000005</v>
      </c>
      <c r="E4">
        <v>0.33</v>
      </c>
      <c r="F4">
        <v>0.91930000000000001</v>
      </c>
      <c r="G4">
        <v>0</v>
      </c>
      <c r="H4">
        <v>0</v>
      </c>
      <c r="I4">
        <v>0</v>
      </c>
      <c r="J4">
        <v>9.69482</v>
      </c>
      <c r="K4">
        <v>0.69120999999999999</v>
      </c>
      <c r="L4">
        <v>0.33</v>
      </c>
      <c r="M4">
        <v>0.95709999999999995</v>
      </c>
      <c r="N4">
        <v>0</v>
      </c>
      <c r="O4">
        <v>0</v>
      </c>
      <c r="P4">
        <v>0</v>
      </c>
      <c r="Q4">
        <v>10.59972</v>
      </c>
      <c r="R4">
        <v>0.74941000000000002</v>
      </c>
      <c r="S4">
        <v>0.33</v>
      </c>
      <c r="T4">
        <v>0.97043999999999997</v>
      </c>
      <c r="U4">
        <v>0</v>
      </c>
      <c r="V4">
        <v>0</v>
      </c>
      <c r="W4">
        <v>0</v>
      </c>
      <c r="X4">
        <v>11.23479</v>
      </c>
      <c r="Y4">
        <v>0.61114999999999997</v>
      </c>
      <c r="Z4">
        <v>0.33</v>
      </c>
      <c r="AA4">
        <v>0.90595000000000003</v>
      </c>
      <c r="AB4">
        <v>0</v>
      </c>
      <c r="AC4">
        <v>0</v>
      </c>
      <c r="AD4">
        <v>0</v>
      </c>
      <c r="AF4">
        <v>0.04</v>
      </c>
      <c r="AG4">
        <v>65827</v>
      </c>
      <c r="AH4">
        <v>0</v>
      </c>
      <c r="AI4">
        <v>0</v>
      </c>
      <c r="AJ4">
        <v>0.04</v>
      </c>
      <c r="AK4">
        <v>65827</v>
      </c>
      <c r="AL4">
        <v>0.04</v>
      </c>
      <c r="AM4">
        <v>57398</v>
      </c>
      <c r="AN4">
        <v>0</v>
      </c>
      <c r="AO4">
        <v>0</v>
      </c>
      <c r="AP4">
        <v>0.04</v>
      </c>
      <c r="AQ4">
        <v>57398</v>
      </c>
      <c r="AR4">
        <v>0.04</v>
      </c>
      <c r="AS4">
        <v>57064</v>
      </c>
      <c r="AT4">
        <v>0</v>
      </c>
      <c r="AU4">
        <v>0</v>
      </c>
      <c r="AV4">
        <v>0.04</v>
      </c>
      <c r="AW4">
        <v>57064</v>
      </c>
      <c r="BA4">
        <v>18</v>
      </c>
      <c r="BB4" t="s">
        <v>195</v>
      </c>
      <c r="BC4">
        <v>357.3</v>
      </c>
      <c r="BD4">
        <v>328.4</v>
      </c>
    </row>
    <row r="5" spans="1:56" x14ac:dyDescent="0.25">
      <c r="A5">
        <v>27</v>
      </c>
      <c r="B5" t="s">
        <v>196</v>
      </c>
      <c r="C5">
        <v>11.60223</v>
      </c>
      <c r="D5">
        <v>1.05037</v>
      </c>
      <c r="E5">
        <v>0.33</v>
      </c>
      <c r="F5">
        <v>1</v>
      </c>
      <c r="G5">
        <v>0</v>
      </c>
      <c r="H5">
        <v>0</v>
      </c>
      <c r="I5">
        <v>3.6264799999999999</v>
      </c>
      <c r="J5">
        <v>11.77534</v>
      </c>
      <c r="K5">
        <v>1.5938099999999999</v>
      </c>
      <c r="L5">
        <v>0.33</v>
      </c>
      <c r="M5">
        <v>1</v>
      </c>
      <c r="N5">
        <v>0</v>
      </c>
      <c r="O5">
        <v>0</v>
      </c>
      <c r="P5">
        <v>3.62792</v>
      </c>
      <c r="Q5">
        <v>12.99715</v>
      </c>
      <c r="R5">
        <v>1.6216299999999999</v>
      </c>
      <c r="S5">
        <v>0.33</v>
      </c>
      <c r="T5">
        <v>1</v>
      </c>
      <c r="U5">
        <v>0</v>
      </c>
      <c r="V5">
        <v>0</v>
      </c>
      <c r="W5">
        <v>2.4679700000000002</v>
      </c>
      <c r="X5">
        <v>14.95195</v>
      </c>
      <c r="Y5">
        <v>1.47682</v>
      </c>
      <c r="Z5">
        <v>0.33</v>
      </c>
      <c r="AA5">
        <v>0</v>
      </c>
      <c r="AB5">
        <v>0</v>
      </c>
      <c r="AC5">
        <v>0</v>
      </c>
      <c r="AD5">
        <v>1.86547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BA5">
        <v>27</v>
      </c>
      <c r="BB5" t="s">
        <v>196</v>
      </c>
      <c r="BC5">
        <v>1459.7</v>
      </c>
      <c r="BD5">
        <v>1481</v>
      </c>
    </row>
    <row r="6" spans="1:56" x14ac:dyDescent="0.25">
      <c r="A6">
        <v>63</v>
      </c>
      <c r="B6" t="s">
        <v>199</v>
      </c>
      <c r="C6">
        <v>9.9842899999999997</v>
      </c>
      <c r="D6">
        <v>1.5309600000000001</v>
      </c>
      <c r="E6">
        <v>0.33</v>
      </c>
      <c r="F6">
        <v>1</v>
      </c>
      <c r="G6">
        <v>0</v>
      </c>
      <c r="H6">
        <v>0</v>
      </c>
      <c r="I6">
        <v>0.87375999999999998</v>
      </c>
      <c r="J6">
        <v>9.6340800000000009</v>
      </c>
      <c r="K6">
        <v>1.6127100000000001</v>
      </c>
      <c r="L6">
        <v>0.33</v>
      </c>
      <c r="M6">
        <v>1</v>
      </c>
      <c r="N6">
        <v>0</v>
      </c>
      <c r="O6">
        <v>0</v>
      </c>
      <c r="P6">
        <v>1.23258</v>
      </c>
      <c r="Q6">
        <v>10.839919999999999</v>
      </c>
      <c r="R6">
        <v>1.6810099999999999</v>
      </c>
      <c r="S6">
        <v>0.33</v>
      </c>
      <c r="T6">
        <v>0</v>
      </c>
      <c r="U6">
        <v>0</v>
      </c>
      <c r="V6">
        <v>0</v>
      </c>
      <c r="W6">
        <v>1.3053699999999999</v>
      </c>
      <c r="X6">
        <v>12.16009</v>
      </c>
      <c r="Y6">
        <v>1.9414</v>
      </c>
      <c r="Z6">
        <v>0.33</v>
      </c>
      <c r="AA6">
        <v>0</v>
      </c>
      <c r="AB6">
        <v>0</v>
      </c>
      <c r="AC6">
        <v>0</v>
      </c>
      <c r="AD6">
        <v>1.3984700000000001</v>
      </c>
      <c r="AF6">
        <v>0.04</v>
      </c>
      <c r="AG6">
        <v>102523</v>
      </c>
      <c r="AH6">
        <v>0</v>
      </c>
      <c r="AI6">
        <v>0</v>
      </c>
      <c r="AJ6">
        <v>0</v>
      </c>
      <c r="AK6">
        <v>0</v>
      </c>
      <c r="AL6">
        <v>0.09</v>
      </c>
      <c r="AM6">
        <v>204917</v>
      </c>
      <c r="AN6">
        <v>0</v>
      </c>
      <c r="AO6">
        <v>0</v>
      </c>
      <c r="AP6">
        <v>0</v>
      </c>
      <c r="AQ6">
        <v>0</v>
      </c>
      <c r="AR6">
        <v>0.09</v>
      </c>
      <c r="AS6">
        <v>202545</v>
      </c>
      <c r="AT6">
        <v>0</v>
      </c>
      <c r="AU6">
        <v>0</v>
      </c>
      <c r="AV6">
        <v>0</v>
      </c>
      <c r="AW6">
        <v>0</v>
      </c>
      <c r="BA6">
        <v>9</v>
      </c>
      <c r="BB6" t="s">
        <v>197</v>
      </c>
      <c r="BC6">
        <v>616.79999999999995</v>
      </c>
      <c r="BD6">
        <v>596.20000000000005</v>
      </c>
    </row>
    <row r="7" spans="1:56" x14ac:dyDescent="0.25">
      <c r="A7">
        <v>72</v>
      </c>
      <c r="B7" t="s">
        <v>200</v>
      </c>
      <c r="C7">
        <v>8.6029099999999996</v>
      </c>
      <c r="D7">
        <v>1.0975900000000001</v>
      </c>
      <c r="E7">
        <v>0.33</v>
      </c>
      <c r="F7">
        <v>1.34</v>
      </c>
      <c r="G7">
        <v>0</v>
      </c>
      <c r="H7">
        <v>0</v>
      </c>
      <c r="I7">
        <v>0</v>
      </c>
      <c r="J7">
        <v>9.2395200000000006</v>
      </c>
      <c r="K7">
        <v>1.1304099999999999</v>
      </c>
      <c r="L7">
        <v>0.33</v>
      </c>
      <c r="M7">
        <v>1.34</v>
      </c>
      <c r="N7">
        <v>0</v>
      </c>
      <c r="O7">
        <v>0</v>
      </c>
      <c r="P7">
        <v>0</v>
      </c>
      <c r="Q7">
        <v>10.101179999999999</v>
      </c>
      <c r="R7">
        <v>0.97126999999999997</v>
      </c>
      <c r="S7">
        <v>0.33</v>
      </c>
      <c r="T7">
        <v>1.34</v>
      </c>
      <c r="U7">
        <v>0</v>
      </c>
      <c r="V7">
        <v>0</v>
      </c>
      <c r="W7">
        <v>0</v>
      </c>
      <c r="X7">
        <v>10.908429999999999</v>
      </c>
      <c r="Y7">
        <v>0.45291999999999999</v>
      </c>
      <c r="Z7">
        <v>0.33</v>
      </c>
      <c r="AA7">
        <v>1.23</v>
      </c>
      <c r="AB7">
        <v>0</v>
      </c>
      <c r="AC7">
        <v>0</v>
      </c>
      <c r="AD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BA7">
        <v>441</v>
      </c>
      <c r="BB7" t="s">
        <v>598</v>
      </c>
      <c r="BC7">
        <v>592.79999999999995</v>
      </c>
      <c r="BD7">
        <v>596.6</v>
      </c>
    </row>
    <row r="8" spans="1:56" x14ac:dyDescent="0.25">
      <c r="A8">
        <v>81</v>
      </c>
      <c r="B8" t="s">
        <v>201</v>
      </c>
      <c r="C8">
        <v>13.33826</v>
      </c>
      <c r="D8">
        <v>1.48126</v>
      </c>
      <c r="E8">
        <v>0.33</v>
      </c>
      <c r="F8">
        <v>0</v>
      </c>
      <c r="G8">
        <v>0</v>
      </c>
      <c r="H8">
        <v>0</v>
      </c>
      <c r="I8">
        <v>0</v>
      </c>
      <c r="J8">
        <v>13.62607</v>
      </c>
      <c r="K8">
        <v>1.12487</v>
      </c>
      <c r="L8">
        <v>0.33</v>
      </c>
      <c r="M8">
        <v>0</v>
      </c>
      <c r="N8">
        <v>0</v>
      </c>
      <c r="O8">
        <v>0</v>
      </c>
      <c r="P8">
        <v>0</v>
      </c>
      <c r="Q8">
        <v>13.28659</v>
      </c>
      <c r="R8">
        <v>1.2845800000000001</v>
      </c>
      <c r="S8">
        <v>0</v>
      </c>
      <c r="T8">
        <v>0</v>
      </c>
      <c r="U8">
        <v>0</v>
      </c>
      <c r="V8">
        <v>0</v>
      </c>
      <c r="W8">
        <v>0</v>
      </c>
      <c r="X8">
        <v>13.584070000000001</v>
      </c>
      <c r="Y8">
        <v>1.2558199999999999</v>
      </c>
      <c r="Z8">
        <v>0</v>
      </c>
      <c r="AA8">
        <v>0</v>
      </c>
      <c r="AB8">
        <v>0</v>
      </c>
      <c r="AC8">
        <v>0</v>
      </c>
      <c r="AD8">
        <v>0</v>
      </c>
      <c r="AF8">
        <v>0.09</v>
      </c>
      <c r="AG8">
        <v>398883</v>
      </c>
      <c r="AH8">
        <v>0</v>
      </c>
      <c r="AI8">
        <v>0</v>
      </c>
      <c r="AJ8">
        <v>0</v>
      </c>
      <c r="AK8">
        <v>0</v>
      </c>
      <c r="AL8">
        <v>0.09</v>
      </c>
      <c r="AM8">
        <v>400619</v>
      </c>
      <c r="AN8">
        <v>0</v>
      </c>
      <c r="AO8">
        <v>0</v>
      </c>
      <c r="AP8">
        <v>0</v>
      </c>
      <c r="AQ8">
        <v>0</v>
      </c>
      <c r="AR8">
        <v>0.09</v>
      </c>
      <c r="AS8">
        <v>417563</v>
      </c>
      <c r="AT8">
        <v>0</v>
      </c>
      <c r="AU8">
        <v>0</v>
      </c>
      <c r="AV8">
        <v>0</v>
      </c>
      <c r="AW8">
        <v>0</v>
      </c>
      <c r="BA8">
        <v>63</v>
      </c>
      <c r="BB8" t="s">
        <v>199</v>
      </c>
      <c r="BC8">
        <v>511.8</v>
      </c>
      <c r="BD8">
        <v>520</v>
      </c>
    </row>
    <row r="9" spans="1:56" x14ac:dyDescent="0.25">
      <c r="A9">
        <v>99</v>
      </c>
      <c r="B9" t="s">
        <v>202</v>
      </c>
      <c r="C9">
        <v>13.555289999999999</v>
      </c>
      <c r="D9">
        <v>0.8427</v>
      </c>
      <c r="E9">
        <v>0.33</v>
      </c>
      <c r="F9">
        <v>0.67</v>
      </c>
      <c r="G9">
        <v>0</v>
      </c>
      <c r="H9">
        <v>0</v>
      </c>
      <c r="I9">
        <v>2.69184</v>
      </c>
      <c r="J9">
        <v>15.77009</v>
      </c>
      <c r="K9">
        <v>0.80493000000000003</v>
      </c>
      <c r="L9">
        <v>0.33</v>
      </c>
      <c r="M9">
        <v>0.67</v>
      </c>
      <c r="N9">
        <v>0</v>
      </c>
      <c r="O9">
        <v>0</v>
      </c>
      <c r="P9">
        <v>1.2907599999999999</v>
      </c>
      <c r="Q9">
        <v>14.879300000000001</v>
      </c>
      <c r="R9">
        <v>0.84262000000000004</v>
      </c>
      <c r="S9">
        <v>0.31320999999999999</v>
      </c>
      <c r="T9">
        <v>0.67</v>
      </c>
      <c r="U9">
        <v>0</v>
      </c>
      <c r="V9">
        <v>0</v>
      </c>
      <c r="W9">
        <v>1.34876</v>
      </c>
      <c r="X9">
        <v>14.8644</v>
      </c>
      <c r="Y9">
        <v>1.02702</v>
      </c>
      <c r="Z9">
        <v>0.33</v>
      </c>
      <c r="AA9">
        <v>0.67</v>
      </c>
      <c r="AB9">
        <v>0</v>
      </c>
      <c r="AC9">
        <v>0</v>
      </c>
      <c r="AD9">
        <v>1.4174599999999999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BA9">
        <v>72</v>
      </c>
      <c r="BB9" t="s">
        <v>200</v>
      </c>
      <c r="BC9">
        <v>213</v>
      </c>
      <c r="BD9">
        <v>202</v>
      </c>
    </row>
    <row r="10" spans="1:56" x14ac:dyDescent="0.25">
      <c r="A10">
        <v>108</v>
      </c>
      <c r="B10" t="s">
        <v>203</v>
      </c>
      <c r="C10">
        <v>8.5869800000000005</v>
      </c>
      <c r="D10">
        <v>0.64978000000000002</v>
      </c>
      <c r="E10">
        <v>0.33</v>
      </c>
      <c r="F10">
        <v>0.67</v>
      </c>
      <c r="G10">
        <v>0</v>
      </c>
      <c r="H10">
        <v>0</v>
      </c>
      <c r="I10">
        <v>0</v>
      </c>
      <c r="J10">
        <v>8.51539</v>
      </c>
      <c r="K10">
        <v>0.63660000000000005</v>
      </c>
      <c r="L10">
        <v>0.33</v>
      </c>
      <c r="M10">
        <v>0.67</v>
      </c>
      <c r="N10">
        <v>0</v>
      </c>
      <c r="O10">
        <v>0</v>
      </c>
      <c r="P10">
        <v>0</v>
      </c>
      <c r="Q10">
        <v>11.19238</v>
      </c>
      <c r="R10">
        <v>0</v>
      </c>
      <c r="S10">
        <v>0.33</v>
      </c>
      <c r="T10">
        <v>0</v>
      </c>
      <c r="U10">
        <v>0</v>
      </c>
      <c r="V10">
        <v>0</v>
      </c>
      <c r="W10">
        <v>0</v>
      </c>
      <c r="X10">
        <v>11.481540000000001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v>0.1</v>
      </c>
      <c r="AG10">
        <v>117866</v>
      </c>
      <c r="AH10">
        <v>0</v>
      </c>
      <c r="AI10">
        <v>0</v>
      </c>
      <c r="AJ10">
        <v>0</v>
      </c>
      <c r="AK10">
        <v>0</v>
      </c>
      <c r="AL10">
        <v>0.1</v>
      </c>
      <c r="AM10">
        <v>114645</v>
      </c>
      <c r="AN10">
        <v>0</v>
      </c>
      <c r="AO10">
        <v>0</v>
      </c>
      <c r="AP10">
        <v>0</v>
      </c>
      <c r="AQ10">
        <v>0</v>
      </c>
      <c r="AR10">
        <v>0.1</v>
      </c>
      <c r="AS10">
        <v>107154</v>
      </c>
      <c r="AT10">
        <v>0</v>
      </c>
      <c r="AU10">
        <v>0</v>
      </c>
      <c r="AV10">
        <v>0</v>
      </c>
      <c r="AW10">
        <v>0</v>
      </c>
      <c r="BA10">
        <v>81</v>
      </c>
      <c r="BB10" t="s">
        <v>201</v>
      </c>
      <c r="BC10">
        <v>1182.8</v>
      </c>
      <c r="BD10">
        <v>1182.5999999999999</v>
      </c>
    </row>
    <row r="11" spans="1:56" x14ac:dyDescent="0.25">
      <c r="A11">
        <v>126</v>
      </c>
      <c r="B11" t="s">
        <v>595</v>
      </c>
      <c r="C11">
        <v>9.1409599999999998</v>
      </c>
      <c r="D11">
        <v>0.70425000000000004</v>
      </c>
      <c r="E11">
        <v>0.33</v>
      </c>
      <c r="F11">
        <v>0.67</v>
      </c>
      <c r="G11">
        <v>0</v>
      </c>
      <c r="H11">
        <v>0</v>
      </c>
      <c r="I11">
        <v>0</v>
      </c>
      <c r="J11">
        <v>9.3162400000000005</v>
      </c>
      <c r="K11">
        <v>0.54739000000000004</v>
      </c>
      <c r="L11">
        <v>0.33</v>
      </c>
      <c r="M11">
        <v>0.67</v>
      </c>
      <c r="N11">
        <v>0</v>
      </c>
      <c r="O11">
        <v>0</v>
      </c>
      <c r="P11">
        <v>0</v>
      </c>
      <c r="Q11">
        <v>10.191420000000001</v>
      </c>
      <c r="R11">
        <v>0.56857999999999997</v>
      </c>
      <c r="S11">
        <v>0.33</v>
      </c>
      <c r="T11">
        <v>0.67</v>
      </c>
      <c r="U11">
        <v>0</v>
      </c>
      <c r="V11">
        <v>0</v>
      </c>
      <c r="W11">
        <v>0</v>
      </c>
      <c r="X11">
        <v>11.332190000000001</v>
      </c>
      <c r="Y11">
        <v>0.60009000000000001</v>
      </c>
      <c r="Z11">
        <v>0.33</v>
      </c>
      <c r="AA11">
        <v>0</v>
      </c>
      <c r="AB11">
        <v>0</v>
      </c>
      <c r="AC11">
        <v>0</v>
      </c>
      <c r="AD11">
        <v>0</v>
      </c>
      <c r="AF11">
        <v>7.0000000000000007E-2</v>
      </c>
      <c r="AG11">
        <v>617976</v>
      </c>
      <c r="AH11">
        <v>0</v>
      </c>
      <c r="AI11">
        <v>0</v>
      </c>
      <c r="AJ11">
        <v>0</v>
      </c>
      <c r="AK11">
        <v>0</v>
      </c>
      <c r="AL11">
        <v>7.0000000000000007E-2</v>
      </c>
      <c r="AM11">
        <v>546423</v>
      </c>
      <c r="AN11">
        <v>0</v>
      </c>
      <c r="AO11">
        <v>0</v>
      </c>
      <c r="AP11">
        <v>0</v>
      </c>
      <c r="AQ11">
        <v>0</v>
      </c>
      <c r="AR11">
        <v>0.08</v>
      </c>
      <c r="AS11">
        <v>609415</v>
      </c>
      <c r="AT11">
        <v>0</v>
      </c>
      <c r="AU11">
        <v>0</v>
      </c>
      <c r="AV11">
        <v>0</v>
      </c>
      <c r="AW11">
        <v>0</v>
      </c>
      <c r="BA11">
        <v>99</v>
      </c>
      <c r="BB11" t="s">
        <v>202</v>
      </c>
      <c r="BC11">
        <v>558.4</v>
      </c>
      <c r="BD11">
        <v>544.5</v>
      </c>
    </row>
    <row r="12" spans="1:56" x14ac:dyDescent="0.25">
      <c r="A12">
        <v>135</v>
      </c>
      <c r="B12" t="s">
        <v>205</v>
      </c>
      <c r="C12">
        <v>8.4140300000000003</v>
      </c>
      <c r="D12">
        <v>1.13253</v>
      </c>
      <c r="E12">
        <v>0.33</v>
      </c>
      <c r="F12">
        <v>8.7959999999999997E-2</v>
      </c>
      <c r="G12">
        <v>0</v>
      </c>
      <c r="H12">
        <v>0</v>
      </c>
      <c r="I12">
        <v>0.49210999999999999</v>
      </c>
      <c r="J12">
        <v>8.6020199999999996</v>
      </c>
      <c r="K12">
        <v>1.19797</v>
      </c>
      <c r="L12">
        <v>0.33</v>
      </c>
      <c r="M12">
        <v>3.6729999999999999E-2</v>
      </c>
      <c r="N12">
        <v>0</v>
      </c>
      <c r="O12">
        <v>0</v>
      </c>
      <c r="P12">
        <v>0.51302000000000003</v>
      </c>
      <c r="Q12">
        <v>10.94393</v>
      </c>
      <c r="R12">
        <v>0.75356999999999996</v>
      </c>
      <c r="S12">
        <v>0.33</v>
      </c>
      <c r="T12">
        <v>9.3289999999999998E-2</v>
      </c>
      <c r="U12">
        <v>0</v>
      </c>
      <c r="V12">
        <v>0</v>
      </c>
      <c r="W12">
        <v>0.53813</v>
      </c>
      <c r="X12">
        <v>11.41276</v>
      </c>
      <c r="Y12">
        <v>0.80344000000000004</v>
      </c>
      <c r="Z12">
        <v>0.33</v>
      </c>
      <c r="AA12">
        <v>5.2589999999999998E-2</v>
      </c>
      <c r="AB12">
        <v>0</v>
      </c>
      <c r="AC12">
        <v>0</v>
      </c>
      <c r="AD12">
        <v>0.55169000000000001</v>
      </c>
      <c r="AF12">
        <v>0</v>
      </c>
      <c r="AG12">
        <v>0</v>
      </c>
      <c r="AH12">
        <v>0</v>
      </c>
      <c r="AI12">
        <v>0</v>
      </c>
      <c r="AJ12">
        <v>0.08</v>
      </c>
      <c r="AK12">
        <v>467659</v>
      </c>
      <c r="AL12">
        <v>0</v>
      </c>
      <c r="AM12">
        <v>0</v>
      </c>
      <c r="AN12">
        <v>0</v>
      </c>
      <c r="AO12">
        <v>0</v>
      </c>
      <c r="AP12">
        <v>0.08</v>
      </c>
      <c r="AQ12">
        <v>422819</v>
      </c>
      <c r="AR12">
        <v>0</v>
      </c>
      <c r="AS12">
        <v>0</v>
      </c>
      <c r="AT12">
        <v>0</v>
      </c>
      <c r="AU12">
        <v>0</v>
      </c>
      <c r="AV12">
        <v>0.08</v>
      </c>
      <c r="AW12">
        <v>418897</v>
      </c>
      <c r="BA12">
        <v>108</v>
      </c>
      <c r="BB12" t="s">
        <v>203</v>
      </c>
      <c r="BC12">
        <v>264.5</v>
      </c>
      <c r="BD12">
        <v>260.7</v>
      </c>
    </row>
    <row r="13" spans="1:56" x14ac:dyDescent="0.25">
      <c r="A13">
        <v>153</v>
      </c>
      <c r="B13" t="s">
        <v>596</v>
      </c>
      <c r="C13">
        <v>11.048590000000001</v>
      </c>
      <c r="D13">
        <v>0.89154</v>
      </c>
      <c r="E13">
        <v>0.33</v>
      </c>
      <c r="F13">
        <v>0.67</v>
      </c>
      <c r="G13">
        <v>0</v>
      </c>
      <c r="H13">
        <v>0</v>
      </c>
      <c r="I13">
        <v>0</v>
      </c>
      <c r="J13">
        <v>11.02938</v>
      </c>
      <c r="K13">
        <v>0.91798000000000002</v>
      </c>
      <c r="L13">
        <v>0.33</v>
      </c>
      <c r="M13">
        <v>0.67</v>
      </c>
      <c r="N13">
        <v>0</v>
      </c>
      <c r="O13">
        <v>0</v>
      </c>
      <c r="P13">
        <v>0</v>
      </c>
      <c r="Q13">
        <v>11.87032</v>
      </c>
      <c r="R13">
        <v>0</v>
      </c>
      <c r="S13">
        <v>0.33</v>
      </c>
      <c r="T13">
        <v>0.67</v>
      </c>
      <c r="U13">
        <v>0</v>
      </c>
      <c r="V13">
        <v>0</v>
      </c>
      <c r="W13">
        <v>0</v>
      </c>
      <c r="X13">
        <v>10.286670000000001</v>
      </c>
      <c r="Y13">
        <v>0.95445999999999998</v>
      </c>
      <c r="Z13">
        <v>0.33</v>
      </c>
      <c r="AA13">
        <v>0.67</v>
      </c>
      <c r="AB13">
        <v>0</v>
      </c>
      <c r="AC13">
        <v>0</v>
      </c>
      <c r="AD13">
        <v>0</v>
      </c>
      <c r="AF13">
        <v>0.05</v>
      </c>
      <c r="AG13">
        <v>160046</v>
      </c>
      <c r="AH13">
        <v>0</v>
      </c>
      <c r="AI13">
        <v>0</v>
      </c>
      <c r="AJ13">
        <v>0</v>
      </c>
      <c r="AK13">
        <v>0</v>
      </c>
      <c r="AL13">
        <v>0.05</v>
      </c>
      <c r="AM13">
        <v>152040</v>
      </c>
      <c r="AN13">
        <v>0</v>
      </c>
      <c r="AO13">
        <v>0</v>
      </c>
      <c r="AP13">
        <v>0</v>
      </c>
      <c r="AQ13">
        <v>0</v>
      </c>
      <c r="AR13">
        <v>0.05</v>
      </c>
      <c r="AS13">
        <v>149476</v>
      </c>
      <c r="AT13">
        <v>0</v>
      </c>
      <c r="AU13">
        <v>0</v>
      </c>
      <c r="AV13">
        <v>0</v>
      </c>
      <c r="AW13">
        <v>0</v>
      </c>
      <c r="BA13">
        <v>126</v>
      </c>
      <c r="BB13" t="s">
        <v>595</v>
      </c>
      <c r="BC13">
        <v>1199.0999999999999</v>
      </c>
      <c r="BD13">
        <v>1182.2</v>
      </c>
    </row>
    <row r="14" spans="1:56" x14ac:dyDescent="0.25">
      <c r="A14">
        <v>171</v>
      </c>
      <c r="B14" t="s">
        <v>206</v>
      </c>
      <c r="C14">
        <v>8.70425</v>
      </c>
      <c r="D14">
        <v>1.6900900000000001</v>
      </c>
      <c r="E14">
        <v>0.33</v>
      </c>
      <c r="F14">
        <v>0</v>
      </c>
      <c r="G14">
        <v>0</v>
      </c>
      <c r="H14">
        <v>0</v>
      </c>
      <c r="I14">
        <v>1.2523299999999999</v>
      </c>
      <c r="J14">
        <v>9.2609499999999993</v>
      </c>
      <c r="K14">
        <v>1.73028</v>
      </c>
      <c r="L14">
        <v>0.32524999999999998</v>
      </c>
      <c r="M14">
        <v>0</v>
      </c>
      <c r="N14">
        <v>0</v>
      </c>
      <c r="O14">
        <v>0</v>
      </c>
      <c r="P14">
        <v>1.2445900000000001</v>
      </c>
      <c r="Q14">
        <v>11.646240000000001</v>
      </c>
      <c r="R14">
        <v>0.77556000000000003</v>
      </c>
      <c r="S14">
        <v>0.33</v>
      </c>
      <c r="T14">
        <v>0</v>
      </c>
      <c r="U14">
        <v>0</v>
      </c>
      <c r="V14">
        <v>0</v>
      </c>
      <c r="W14">
        <v>1.30111</v>
      </c>
      <c r="X14">
        <v>11.62595</v>
      </c>
      <c r="Y14">
        <v>0.91778000000000004</v>
      </c>
      <c r="Z14">
        <v>0.33</v>
      </c>
      <c r="AA14">
        <v>0</v>
      </c>
      <c r="AB14">
        <v>0</v>
      </c>
      <c r="AC14">
        <v>0</v>
      </c>
      <c r="AD14">
        <v>1.3784099999999999</v>
      </c>
      <c r="AF14">
        <v>0.09</v>
      </c>
      <c r="AG14">
        <v>245511</v>
      </c>
      <c r="AH14">
        <v>0</v>
      </c>
      <c r="AI14">
        <v>0</v>
      </c>
      <c r="AJ14">
        <v>0</v>
      </c>
      <c r="AK14">
        <v>0</v>
      </c>
      <c r="AL14">
        <v>0.09</v>
      </c>
      <c r="AM14">
        <v>224903</v>
      </c>
      <c r="AN14">
        <v>0</v>
      </c>
      <c r="AO14">
        <v>0</v>
      </c>
      <c r="AP14">
        <v>0</v>
      </c>
      <c r="AQ14">
        <v>0</v>
      </c>
      <c r="AR14">
        <v>0.09</v>
      </c>
      <c r="AS14">
        <v>203743</v>
      </c>
      <c r="AT14">
        <v>0</v>
      </c>
      <c r="AU14">
        <v>0</v>
      </c>
      <c r="AV14">
        <v>0</v>
      </c>
      <c r="AW14">
        <v>0</v>
      </c>
      <c r="BA14">
        <v>135</v>
      </c>
      <c r="BB14" t="s">
        <v>205</v>
      </c>
      <c r="BC14">
        <v>1207.9000000000001</v>
      </c>
      <c r="BD14">
        <v>1176.9000000000001</v>
      </c>
    </row>
    <row r="15" spans="1:56" x14ac:dyDescent="0.25">
      <c r="A15">
        <v>225</v>
      </c>
      <c r="B15" t="s">
        <v>207</v>
      </c>
      <c r="C15">
        <v>8.1659900000000007</v>
      </c>
      <c r="D15">
        <v>0.46160000000000001</v>
      </c>
      <c r="E15">
        <v>0.33</v>
      </c>
      <c r="F15">
        <v>1.34</v>
      </c>
      <c r="G15">
        <v>0</v>
      </c>
      <c r="H15">
        <v>0</v>
      </c>
      <c r="I15">
        <v>4.05</v>
      </c>
      <c r="J15">
        <v>8.1496600000000008</v>
      </c>
      <c r="K15">
        <v>1.3086199999999999</v>
      </c>
      <c r="L15">
        <v>0.33</v>
      </c>
      <c r="M15">
        <v>1.34</v>
      </c>
      <c r="N15">
        <v>0</v>
      </c>
      <c r="O15">
        <v>0</v>
      </c>
      <c r="P15">
        <v>3.2207599999999998</v>
      </c>
      <c r="Q15">
        <v>8.6144300000000005</v>
      </c>
      <c r="R15">
        <v>1.8988400000000001</v>
      </c>
      <c r="S15">
        <v>0.33</v>
      </c>
      <c r="T15">
        <v>1.34</v>
      </c>
      <c r="U15">
        <v>0</v>
      </c>
      <c r="V15">
        <v>0</v>
      </c>
      <c r="W15">
        <v>2.2893500000000002</v>
      </c>
      <c r="X15">
        <v>11.983269999999999</v>
      </c>
      <c r="Y15">
        <v>0.63441000000000003</v>
      </c>
      <c r="Z15">
        <v>0.33</v>
      </c>
      <c r="AA15">
        <v>1.34</v>
      </c>
      <c r="AB15">
        <v>0</v>
      </c>
      <c r="AC15">
        <v>0</v>
      </c>
      <c r="AD15">
        <v>0.23003999999999999</v>
      </c>
      <c r="AF15">
        <v>0.05</v>
      </c>
      <c r="AG15">
        <v>2102425</v>
      </c>
      <c r="AH15">
        <v>0</v>
      </c>
      <c r="AI15">
        <v>0</v>
      </c>
      <c r="AJ15">
        <v>0</v>
      </c>
      <c r="AK15">
        <v>0</v>
      </c>
      <c r="AL15">
        <v>0.05</v>
      </c>
      <c r="AM15">
        <v>2028638</v>
      </c>
      <c r="AN15">
        <v>0</v>
      </c>
      <c r="AO15">
        <v>0</v>
      </c>
      <c r="AP15">
        <v>0</v>
      </c>
      <c r="AQ15">
        <v>0</v>
      </c>
      <c r="AR15">
        <v>0.05</v>
      </c>
      <c r="AS15">
        <v>2004559</v>
      </c>
      <c r="AT15">
        <v>0</v>
      </c>
      <c r="AU15">
        <v>0</v>
      </c>
      <c r="AV15">
        <v>0</v>
      </c>
      <c r="AW15">
        <v>0</v>
      </c>
      <c r="BA15">
        <v>171</v>
      </c>
      <c r="BB15" t="s">
        <v>206</v>
      </c>
      <c r="BC15">
        <v>502.8</v>
      </c>
      <c r="BD15">
        <v>510</v>
      </c>
    </row>
    <row r="16" spans="1:56" x14ac:dyDescent="0.25">
      <c r="A16">
        <v>234</v>
      </c>
      <c r="B16" t="s">
        <v>208</v>
      </c>
      <c r="C16">
        <v>9.92666</v>
      </c>
      <c r="D16">
        <v>0.81225000000000003</v>
      </c>
      <c r="E16">
        <v>0.33</v>
      </c>
      <c r="F16">
        <v>0.67</v>
      </c>
      <c r="G16">
        <v>0</v>
      </c>
      <c r="H16">
        <v>0</v>
      </c>
      <c r="I16">
        <v>3.24627</v>
      </c>
      <c r="J16">
        <v>9.9393600000000006</v>
      </c>
      <c r="K16">
        <v>0.81881000000000004</v>
      </c>
      <c r="L16">
        <v>0.33</v>
      </c>
      <c r="M16">
        <v>0.67</v>
      </c>
      <c r="N16">
        <v>0</v>
      </c>
      <c r="O16">
        <v>0</v>
      </c>
      <c r="P16">
        <v>3.30057</v>
      </c>
      <c r="Q16">
        <v>11.298439999999999</v>
      </c>
      <c r="R16">
        <v>0.88288</v>
      </c>
      <c r="S16">
        <v>0.33</v>
      </c>
      <c r="T16">
        <v>0.67</v>
      </c>
      <c r="U16">
        <v>0</v>
      </c>
      <c r="V16">
        <v>0</v>
      </c>
      <c r="W16">
        <v>0</v>
      </c>
      <c r="X16">
        <v>12.29363</v>
      </c>
      <c r="Y16">
        <v>0.84853999999999996</v>
      </c>
      <c r="Z16">
        <v>0.33</v>
      </c>
      <c r="AA16">
        <v>0.67</v>
      </c>
      <c r="AB16">
        <v>0</v>
      </c>
      <c r="AC16">
        <v>0</v>
      </c>
      <c r="AD16">
        <v>0</v>
      </c>
      <c r="AF16">
        <v>7.0000000000000007E-2</v>
      </c>
      <c r="AG16">
        <v>484326</v>
      </c>
      <c r="AH16">
        <v>0</v>
      </c>
      <c r="AI16">
        <v>0</v>
      </c>
      <c r="AJ16">
        <v>0</v>
      </c>
      <c r="AK16">
        <v>0</v>
      </c>
      <c r="AL16">
        <v>7.0000000000000007E-2</v>
      </c>
      <c r="AM16">
        <v>458845</v>
      </c>
      <c r="AN16">
        <v>0</v>
      </c>
      <c r="AO16">
        <v>0</v>
      </c>
      <c r="AP16">
        <v>0</v>
      </c>
      <c r="AQ16">
        <v>0</v>
      </c>
      <c r="AR16">
        <v>7.0000000000000007E-2</v>
      </c>
      <c r="AS16">
        <v>472040</v>
      </c>
      <c r="AT16">
        <v>0</v>
      </c>
      <c r="AU16">
        <v>0</v>
      </c>
      <c r="AV16">
        <v>0</v>
      </c>
      <c r="AW16">
        <v>0</v>
      </c>
      <c r="BA16">
        <v>225</v>
      </c>
      <c r="BB16" t="s">
        <v>207</v>
      </c>
      <c r="BC16">
        <v>4228.7</v>
      </c>
      <c r="BD16">
        <v>4246.6000000000004</v>
      </c>
    </row>
    <row r="17" spans="1:56" x14ac:dyDescent="0.25">
      <c r="A17">
        <v>243</v>
      </c>
      <c r="B17" t="s">
        <v>209</v>
      </c>
      <c r="C17">
        <v>9.1660900000000005</v>
      </c>
      <c r="D17">
        <v>2.1350500000000001</v>
      </c>
      <c r="E17">
        <v>0.33</v>
      </c>
      <c r="F17">
        <v>1.34</v>
      </c>
      <c r="G17">
        <v>0</v>
      </c>
      <c r="H17">
        <v>0</v>
      </c>
      <c r="I17">
        <v>0</v>
      </c>
      <c r="J17">
        <v>11.99525</v>
      </c>
      <c r="K17">
        <v>0.80339000000000005</v>
      </c>
      <c r="L17">
        <v>0.33</v>
      </c>
      <c r="M17">
        <v>0.9</v>
      </c>
      <c r="N17">
        <v>0</v>
      </c>
      <c r="O17">
        <v>0</v>
      </c>
      <c r="P17">
        <v>0</v>
      </c>
      <c r="Q17">
        <v>11.78148</v>
      </c>
      <c r="R17">
        <v>1.0723199999999999</v>
      </c>
      <c r="S17">
        <v>0.33</v>
      </c>
      <c r="T17">
        <v>0.9</v>
      </c>
      <c r="U17">
        <v>0</v>
      </c>
      <c r="V17">
        <v>0</v>
      </c>
      <c r="W17">
        <v>0</v>
      </c>
      <c r="X17">
        <v>12.54982</v>
      </c>
      <c r="Y17">
        <v>1.00576</v>
      </c>
      <c r="Z17">
        <v>0.33</v>
      </c>
      <c r="AA17">
        <v>0.34</v>
      </c>
      <c r="AB17">
        <v>0</v>
      </c>
      <c r="AC17">
        <v>0</v>
      </c>
      <c r="AD17">
        <v>0</v>
      </c>
      <c r="AF17">
        <v>0.13</v>
      </c>
      <c r="AG17">
        <v>126508</v>
      </c>
      <c r="AH17">
        <v>0</v>
      </c>
      <c r="AI17">
        <v>0</v>
      </c>
      <c r="AJ17">
        <v>0</v>
      </c>
      <c r="AK17">
        <v>0</v>
      </c>
      <c r="AL17">
        <v>0.13</v>
      </c>
      <c r="AM17">
        <v>121642</v>
      </c>
      <c r="AN17">
        <v>0</v>
      </c>
      <c r="AO17">
        <v>0</v>
      </c>
      <c r="AP17">
        <v>0</v>
      </c>
      <c r="AQ17">
        <v>0</v>
      </c>
      <c r="AR17">
        <v>0.13</v>
      </c>
      <c r="AS17">
        <v>123577</v>
      </c>
      <c r="AT17">
        <v>0</v>
      </c>
      <c r="AU17">
        <v>0</v>
      </c>
      <c r="AV17">
        <v>0</v>
      </c>
      <c r="AW17">
        <v>0</v>
      </c>
      <c r="BA17">
        <v>234</v>
      </c>
      <c r="BB17" t="s">
        <v>208</v>
      </c>
      <c r="BC17">
        <v>1238.0999999999999</v>
      </c>
      <c r="BD17">
        <v>1247</v>
      </c>
    </row>
    <row r="18" spans="1:56" x14ac:dyDescent="0.25">
      <c r="A18">
        <v>261</v>
      </c>
      <c r="B18" t="s">
        <v>210</v>
      </c>
      <c r="C18">
        <v>15.428290000000001</v>
      </c>
      <c r="D18">
        <v>0.42420999999999998</v>
      </c>
      <c r="E18">
        <v>0.33</v>
      </c>
      <c r="F18">
        <v>1.34</v>
      </c>
      <c r="G18">
        <v>0</v>
      </c>
      <c r="H18">
        <v>0</v>
      </c>
      <c r="I18">
        <v>2.6604899999999998</v>
      </c>
      <c r="J18">
        <v>15.64907</v>
      </c>
      <c r="K18">
        <v>0.46216000000000002</v>
      </c>
      <c r="L18">
        <v>0.33</v>
      </c>
      <c r="M18">
        <v>1.34</v>
      </c>
      <c r="N18">
        <v>0</v>
      </c>
      <c r="O18">
        <v>0</v>
      </c>
      <c r="P18">
        <v>2.55098</v>
      </c>
      <c r="Q18">
        <v>15.631740000000001</v>
      </c>
      <c r="R18">
        <v>0.5202</v>
      </c>
      <c r="S18">
        <v>0.33</v>
      </c>
      <c r="T18">
        <v>1.34</v>
      </c>
      <c r="U18">
        <v>0</v>
      </c>
      <c r="V18">
        <v>0</v>
      </c>
      <c r="W18">
        <v>2.7698299999999998</v>
      </c>
      <c r="X18">
        <v>16.002690000000001</v>
      </c>
      <c r="Y18">
        <v>0.55089999999999995</v>
      </c>
      <c r="Z18">
        <v>0.33</v>
      </c>
      <c r="AA18">
        <v>1.34</v>
      </c>
      <c r="AB18">
        <v>0</v>
      </c>
      <c r="AC18">
        <v>0</v>
      </c>
      <c r="AD18">
        <v>2.8467699999999998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BA18">
        <v>243</v>
      </c>
      <c r="BB18" t="s">
        <v>209</v>
      </c>
      <c r="BC18">
        <v>273.3</v>
      </c>
      <c r="BD18">
        <v>272.3</v>
      </c>
    </row>
    <row r="19" spans="1:56" x14ac:dyDescent="0.25">
      <c r="A19">
        <v>279</v>
      </c>
      <c r="B19" t="s">
        <v>211</v>
      </c>
      <c r="C19">
        <v>10.953569999999999</v>
      </c>
      <c r="D19">
        <v>1.0208699999999999</v>
      </c>
      <c r="E19">
        <v>0.33</v>
      </c>
      <c r="F19">
        <v>0.56999999999999995</v>
      </c>
      <c r="G19">
        <v>0</v>
      </c>
      <c r="H19">
        <v>0</v>
      </c>
      <c r="I19">
        <v>0.87697999999999998</v>
      </c>
      <c r="J19">
        <v>10.93554</v>
      </c>
      <c r="K19">
        <v>0.92428999999999994</v>
      </c>
      <c r="L19">
        <v>0.33</v>
      </c>
      <c r="M19">
        <v>0</v>
      </c>
      <c r="N19">
        <v>0</v>
      </c>
      <c r="O19">
        <v>0</v>
      </c>
      <c r="P19">
        <v>1.8934299999999999</v>
      </c>
      <c r="Q19">
        <v>11.85413</v>
      </c>
      <c r="R19">
        <v>0.87771999999999994</v>
      </c>
      <c r="S19">
        <v>0.33</v>
      </c>
      <c r="T19">
        <v>0</v>
      </c>
      <c r="U19">
        <v>0</v>
      </c>
      <c r="V19">
        <v>0</v>
      </c>
      <c r="W19">
        <v>1.3809100000000001</v>
      </c>
      <c r="X19">
        <v>12.516019999999999</v>
      </c>
      <c r="Y19">
        <v>1.1935500000000001</v>
      </c>
      <c r="Z19">
        <v>0.33</v>
      </c>
      <c r="AA19">
        <v>0</v>
      </c>
      <c r="AB19">
        <v>0</v>
      </c>
      <c r="AC19">
        <v>0</v>
      </c>
      <c r="AD19">
        <v>1.47481</v>
      </c>
      <c r="AF19">
        <v>7.0000000000000007E-2</v>
      </c>
      <c r="AG19">
        <v>277876</v>
      </c>
      <c r="AH19">
        <v>0</v>
      </c>
      <c r="AI19">
        <v>0</v>
      </c>
      <c r="AJ19">
        <v>0</v>
      </c>
      <c r="AK19">
        <v>0</v>
      </c>
      <c r="AL19">
        <v>7.0000000000000007E-2</v>
      </c>
      <c r="AM19">
        <v>266579</v>
      </c>
      <c r="AN19">
        <v>0</v>
      </c>
      <c r="AO19">
        <v>0</v>
      </c>
      <c r="AP19">
        <v>0</v>
      </c>
      <c r="AQ19">
        <v>0</v>
      </c>
      <c r="AR19">
        <v>7.0000000000000007E-2</v>
      </c>
      <c r="AS19">
        <v>259561</v>
      </c>
      <c r="AT19">
        <v>0</v>
      </c>
      <c r="AU19">
        <v>0</v>
      </c>
      <c r="AV19">
        <v>0</v>
      </c>
      <c r="AW19">
        <v>0</v>
      </c>
      <c r="BA19">
        <v>261</v>
      </c>
      <c r="BB19" t="s">
        <v>210</v>
      </c>
      <c r="BC19">
        <v>9386.2999999999993</v>
      </c>
      <c r="BD19">
        <v>9901.9</v>
      </c>
    </row>
    <row r="20" spans="1:56" x14ac:dyDescent="0.25">
      <c r="A20">
        <v>333</v>
      </c>
      <c r="B20" t="s">
        <v>597</v>
      </c>
      <c r="C20">
        <v>6.91113</v>
      </c>
      <c r="D20">
        <v>0.49354999999999999</v>
      </c>
      <c r="E20">
        <v>0.33</v>
      </c>
      <c r="F20">
        <v>0.35324</v>
      </c>
      <c r="G20">
        <v>0</v>
      </c>
      <c r="H20">
        <v>0</v>
      </c>
      <c r="I20">
        <v>2.4267699999999999</v>
      </c>
      <c r="J20">
        <v>7.0716599999999996</v>
      </c>
      <c r="K20">
        <v>0.55137000000000003</v>
      </c>
      <c r="L20">
        <v>0.33</v>
      </c>
      <c r="M20">
        <v>0.85933000000000004</v>
      </c>
      <c r="N20">
        <v>0</v>
      </c>
      <c r="O20">
        <v>0</v>
      </c>
      <c r="P20">
        <v>2.4967700000000002</v>
      </c>
      <c r="Q20">
        <v>8.7463800000000003</v>
      </c>
      <c r="R20">
        <v>1.78216</v>
      </c>
      <c r="S20">
        <v>0.33</v>
      </c>
      <c r="T20">
        <v>1.34</v>
      </c>
      <c r="U20">
        <v>0</v>
      </c>
      <c r="V20">
        <v>0</v>
      </c>
      <c r="W20">
        <v>0.72591000000000006</v>
      </c>
      <c r="X20">
        <v>11.16671</v>
      </c>
      <c r="Y20">
        <v>1.2302</v>
      </c>
      <c r="Z20">
        <v>0.33</v>
      </c>
      <c r="AA20">
        <v>0.85531000000000001</v>
      </c>
      <c r="AB20">
        <v>0</v>
      </c>
      <c r="AC20">
        <v>0</v>
      </c>
      <c r="AD20">
        <v>0.75948000000000004</v>
      </c>
      <c r="AF20">
        <v>0.05</v>
      </c>
      <c r="AG20">
        <v>87347</v>
      </c>
      <c r="AH20">
        <v>0</v>
      </c>
      <c r="AI20">
        <v>0</v>
      </c>
      <c r="AJ20">
        <v>0.05</v>
      </c>
      <c r="AK20">
        <v>87347</v>
      </c>
      <c r="AL20">
        <v>0.03</v>
      </c>
      <c r="AM20">
        <v>50738</v>
      </c>
      <c r="AN20">
        <v>0</v>
      </c>
      <c r="AO20">
        <v>0</v>
      </c>
      <c r="AP20">
        <v>0</v>
      </c>
      <c r="AQ20">
        <v>0</v>
      </c>
      <c r="AR20">
        <v>0.1</v>
      </c>
      <c r="AS20">
        <v>162518</v>
      </c>
      <c r="AT20">
        <v>0</v>
      </c>
      <c r="AU20">
        <v>0</v>
      </c>
      <c r="AV20">
        <v>0.05</v>
      </c>
      <c r="AW20">
        <v>81259</v>
      </c>
      <c r="BA20">
        <v>279</v>
      </c>
      <c r="BB20" t="s">
        <v>211</v>
      </c>
      <c r="BC20">
        <v>842</v>
      </c>
      <c r="BD20">
        <v>809</v>
      </c>
    </row>
    <row r="21" spans="1:56" x14ac:dyDescent="0.25">
      <c r="A21">
        <v>355</v>
      </c>
      <c r="B21" t="s">
        <v>212</v>
      </c>
      <c r="C21">
        <v>7.2564799999999998</v>
      </c>
      <c r="D21">
        <v>0.96155000000000002</v>
      </c>
      <c r="E21">
        <v>0.33</v>
      </c>
      <c r="F21">
        <v>1.34</v>
      </c>
      <c r="G21">
        <v>0</v>
      </c>
      <c r="H21">
        <v>0</v>
      </c>
      <c r="I21">
        <v>0</v>
      </c>
      <c r="J21">
        <v>8.9727599999999992</v>
      </c>
      <c r="K21">
        <v>1.2180200000000001</v>
      </c>
      <c r="L21">
        <v>0.33</v>
      </c>
      <c r="M21">
        <v>1.34</v>
      </c>
      <c r="N21">
        <v>0</v>
      </c>
      <c r="O21">
        <v>0</v>
      </c>
      <c r="P21">
        <v>0</v>
      </c>
      <c r="Q21">
        <v>10.79236</v>
      </c>
      <c r="R21">
        <v>0.83716000000000002</v>
      </c>
      <c r="S21">
        <v>0.33</v>
      </c>
      <c r="T21">
        <v>1.34</v>
      </c>
      <c r="U21">
        <v>0</v>
      </c>
      <c r="V21">
        <v>0</v>
      </c>
      <c r="W21">
        <v>0</v>
      </c>
      <c r="X21">
        <v>10.99004</v>
      </c>
      <c r="Y21">
        <v>9.2539999999999997E-2</v>
      </c>
      <c r="Z21">
        <v>0.30020000000000002</v>
      </c>
      <c r="AA21">
        <v>1.2190099999999999</v>
      </c>
      <c r="AB21">
        <v>0</v>
      </c>
      <c r="AC21">
        <v>0</v>
      </c>
      <c r="AD21">
        <v>0</v>
      </c>
      <c r="AF21">
        <v>0.09</v>
      </c>
      <c r="AG21">
        <v>159594</v>
      </c>
      <c r="AH21">
        <v>0</v>
      </c>
      <c r="AI21">
        <v>0</v>
      </c>
      <c r="AJ21">
        <v>0</v>
      </c>
      <c r="AK21">
        <v>0</v>
      </c>
      <c r="AL21">
        <v>0.09</v>
      </c>
      <c r="AM21">
        <v>144688</v>
      </c>
      <c r="AN21">
        <v>0</v>
      </c>
      <c r="AO21">
        <v>0</v>
      </c>
      <c r="AP21">
        <v>0</v>
      </c>
      <c r="AQ21">
        <v>0</v>
      </c>
      <c r="AR21">
        <v>0.09</v>
      </c>
      <c r="AS21">
        <v>154572</v>
      </c>
      <c r="AT21">
        <v>0</v>
      </c>
      <c r="AU21">
        <v>0</v>
      </c>
      <c r="AV21">
        <v>0</v>
      </c>
      <c r="AW21">
        <v>0</v>
      </c>
      <c r="BA21">
        <v>355</v>
      </c>
      <c r="BB21" t="s">
        <v>212</v>
      </c>
      <c r="BC21">
        <v>299.60000000000002</v>
      </c>
      <c r="BD21">
        <v>285.39999999999998</v>
      </c>
    </row>
    <row r="22" spans="1:56" x14ac:dyDescent="0.25">
      <c r="A22">
        <v>387</v>
      </c>
      <c r="B22" t="s">
        <v>213</v>
      </c>
      <c r="C22">
        <v>13.591620000000001</v>
      </c>
      <c r="D22">
        <v>0.83033999999999997</v>
      </c>
      <c r="E22">
        <v>0.33</v>
      </c>
      <c r="F22">
        <v>0.11871</v>
      </c>
      <c r="G22">
        <v>0</v>
      </c>
      <c r="H22">
        <v>0</v>
      </c>
      <c r="I22">
        <v>0</v>
      </c>
      <c r="J22">
        <v>12.51901</v>
      </c>
      <c r="K22">
        <v>1.22088</v>
      </c>
      <c r="L22">
        <v>0.33</v>
      </c>
      <c r="M22">
        <v>0.18088000000000001</v>
      </c>
      <c r="N22">
        <v>0</v>
      </c>
      <c r="O22">
        <v>0</v>
      </c>
      <c r="P22">
        <v>0</v>
      </c>
      <c r="Q22">
        <v>12.410880000000001</v>
      </c>
      <c r="R22">
        <v>0.55784</v>
      </c>
      <c r="S22">
        <v>0.33</v>
      </c>
      <c r="T22">
        <v>0.24410999999999999</v>
      </c>
      <c r="U22">
        <v>0</v>
      </c>
      <c r="V22">
        <v>0</v>
      </c>
      <c r="W22">
        <v>0.86807999999999996</v>
      </c>
      <c r="X22">
        <v>11.71719</v>
      </c>
      <c r="Y22">
        <v>0.39778000000000002</v>
      </c>
      <c r="Z22">
        <v>0.32268000000000002</v>
      </c>
      <c r="AA22">
        <v>0.19234999999999999</v>
      </c>
      <c r="AB22">
        <v>0</v>
      </c>
      <c r="AC22">
        <v>0</v>
      </c>
      <c r="AD22">
        <v>2.12588</v>
      </c>
      <c r="AF22">
        <v>0.09</v>
      </c>
      <c r="AG22">
        <v>625381</v>
      </c>
      <c r="AH22">
        <v>0</v>
      </c>
      <c r="AI22">
        <v>0</v>
      </c>
      <c r="AJ22">
        <v>0.04</v>
      </c>
      <c r="AK22">
        <v>277947</v>
      </c>
      <c r="AL22">
        <v>0.1</v>
      </c>
      <c r="AM22">
        <v>616288</v>
      </c>
      <c r="AN22">
        <v>0</v>
      </c>
      <c r="AO22">
        <v>0</v>
      </c>
      <c r="AP22">
        <v>0.04</v>
      </c>
      <c r="AQ22">
        <v>246515</v>
      </c>
      <c r="AR22">
        <v>0.1</v>
      </c>
      <c r="AS22">
        <v>607839</v>
      </c>
      <c r="AT22">
        <v>0</v>
      </c>
      <c r="AU22">
        <v>0</v>
      </c>
      <c r="AV22">
        <v>0.04</v>
      </c>
      <c r="AW22">
        <v>243136</v>
      </c>
      <c r="BA22">
        <v>387</v>
      </c>
      <c r="BB22" t="s">
        <v>213</v>
      </c>
      <c r="BC22">
        <v>1428.8</v>
      </c>
      <c r="BD22">
        <v>1433.9</v>
      </c>
    </row>
    <row r="23" spans="1:56" x14ac:dyDescent="0.25">
      <c r="A23">
        <v>414</v>
      </c>
      <c r="B23" t="s">
        <v>214</v>
      </c>
      <c r="C23">
        <v>9.0885400000000001</v>
      </c>
      <c r="D23">
        <v>0.34298000000000001</v>
      </c>
      <c r="E23">
        <v>0.33</v>
      </c>
      <c r="F23">
        <v>0.67</v>
      </c>
      <c r="G23">
        <v>0</v>
      </c>
      <c r="H23">
        <v>0</v>
      </c>
      <c r="I23">
        <v>1.9367700000000001</v>
      </c>
      <c r="J23">
        <v>9.8715299999999999</v>
      </c>
      <c r="K23">
        <v>0.34895999999999999</v>
      </c>
      <c r="L23">
        <v>0.33</v>
      </c>
      <c r="M23">
        <v>0.67</v>
      </c>
      <c r="N23">
        <v>0</v>
      </c>
      <c r="O23">
        <v>0</v>
      </c>
      <c r="P23">
        <v>1.69329</v>
      </c>
      <c r="Q23">
        <v>10.639810000000001</v>
      </c>
      <c r="R23">
        <v>0.63402999999999998</v>
      </c>
      <c r="S23">
        <v>0.33</v>
      </c>
      <c r="T23">
        <v>0.67</v>
      </c>
      <c r="U23">
        <v>0</v>
      </c>
      <c r="V23">
        <v>0</v>
      </c>
      <c r="W23">
        <v>1.8000100000000001</v>
      </c>
      <c r="X23">
        <v>11.81087</v>
      </c>
      <c r="Y23">
        <v>0.76605000000000001</v>
      </c>
      <c r="Z23">
        <v>0.32657999999999998</v>
      </c>
      <c r="AA23">
        <v>0.66998000000000002</v>
      </c>
      <c r="AB23">
        <v>0</v>
      </c>
      <c r="AC23">
        <v>0</v>
      </c>
      <c r="AD23">
        <v>0.76915999999999995</v>
      </c>
      <c r="AF23">
        <v>0.08</v>
      </c>
      <c r="AG23">
        <v>252697</v>
      </c>
      <c r="AH23">
        <v>0</v>
      </c>
      <c r="AI23">
        <v>0</v>
      </c>
      <c r="AJ23">
        <v>0</v>
      </c>
      <c r="AK23">
        <v>0</v>
      </c>
      <c r="AL23">
        <v>0.09</v>
      </c>
      <c r="AM23">
        <v>259427</v>
      </c>
      <c r="AN23">
        <v>0</v>
      </c>
      <c r="AO23">
        <v>0</v>
      </c>
      <c r="AP23">
        <v>0</v>
      </c>
      <c r="AQ23">
        <v>0</v>
      </c>
      <c r="AR23">
        <v>0.08</v>
      </c>
      <c r="AS23">
        <v>220892</v>
      </c>
      <c r="AT23">
        <v>0</v>
      </c>
      <c r="AU23">
        <v>0</v>
      </c>
      <c r="AV23">
        <v>0</v>
      </c>
      <c r="AW23">
        <v>0</v>
      </c>
      <c r="BA23">
        <v>414</v>
      </c>
      <c r="BB23" t="s">
        <v>214</v>
      </c>
      <c r="BC23">
        <v>533.1</v>
      </c>
      <c r="BD23">
        <v>525.29999999999995</v>
      </c>
    </row>
    <row r="24" spans="1:56" x14ac:dyDescent="0.25">
      <c r="A24">
        <v>423</v>
      </c>
      <c r="B24" t="s">
        <v>215</v>
      </c>
      <c r="C24">
        <v>8.1955899999999993</v>
      </c>
      <c r="D24">
        <v>0.76100000000000001</v>
      </c>
      <c r="E24">
        <v>0.33</v>
      </c>
      <c r="F24">
        <v>0.67</v>
      </c>
      <c r="G24">
        <v>0</v>
      </c>
      <c r="H24">
        <v>0</v>
      </c>
      <c r="I24">
        <v>0</v>
      </c>
      <c r="J24">
        <v>8.3401200000000006</v>
      </c>
      <c r="K24">
        <v>0.82088000000000005</v>
      </c>
      <c r="L24">
        <v>0.33</v>
      </c>
      <c r="M24">
        <v>0.67</v>
      </c>
      <c r="N24">
        <v>0</v>
      </c>
      <c r="O24">
        <v>0</v>
      </c>
      <c r="P24">
        <v>0</v>
      </c>
      <c r="Q24">
        <v>9.0144099999999998</v>
      </c>
      <c r="R24">
        <v>0.85741000000000001</v>
      </c>
      <c r="S24">
        <v>0.33</v>
      </c>
      <c r="T24">
        <v>0.67</v>
      </c>
      <c r="U24">
        <v>0</v>
      </c>
      <c r="V24">
        <v>0</v>
      </c>
      <c r="W24">
        <v>0</v>
      </c>
      <c r="X24">
        <v>9.2880800000000008</v>
      </c>
      <c r="Y24">
        <v>1.2657400000000001</v>
      </c>
      <c r="Z24">
        <v>0.33</v>
      </c>
      <c r="AA24">
        <v>0.67</v>
      </c>
      <c r="AB24">
        <v>0</v>
      </c>
      <c r="AC24">
        <v>0</v>
      </c>
      <c r="AD24">
        <v>0</v>
      </c>
      <c r="AF24">
        <v>0.06</v>
      </c>
      <c r="AG24">
        <v>94187</v>
      </c>
      <c r="AH24">
        <v>0</v>
      </c>
      <c r="AI24">
        <v>0</v>
      </c>
      <c r="AJ24">
        <v>0</v>
      </c>
      <c r="AK24">
        <v>0</v>
      </c>
      <c r="AL24">
        <v>0.03</v>
      </c>
      <c r="AM24">
        <v>44501</v>
      </c>
      <c r="AN24">
        <v>0</v>
      </c>
      <c r="AO24">
        <v>0</v>
      </c>
      <c r="AP24">
        <v>0</v>
      </c>
      <c r="AQ24">
        <v>0</v>
      </c>
      <c r="AR24">
        <v>0.09</v>
      </c>
      <c r="AS24">
        <v>132645</v>
      </c>
      <c r="AT24">
        <v>0</v>
      </c>
      <c r="AU24">
        <v>0</v>
      </c>
      <c r="AV24">
        <v>0</v>
      </c>
      <c r="AW24">
        <v>0</v>
      </c>
      <c r="BA24">
        <v>423</v>
      </c>
      <c r="BB24" t="s">
        <v>215</v>
      </c>
      <c r="BC24">
        <v>257.10000000000002</v>
      </c>
      <c r="BD24">
        <v>242.4</v>
      </c>
    </row>
    <row r="25" spans="1:56" x14ac:dyDescent="0.25">
      <c r="A25">
        <v>441</v>
      </c>
      <c r="B25" t="s">
        <v>598</v>
      </c>
      <c r="C25">
        <v>7.9095899999999997</v>
      </c>
      <c r="D25">
        <v>0.54767999999999994</v>
      </c>
      <c r="E25">
        <v>0.33</v>
      </c>
      <c r="F25">
        <v>0</v>
      </c>
      <c r="G25">
        <v>0</v>
      </c>
      <c r="H25">
        <v>0</v>
      </c>
      <c r="I25">
        <v>2.6976499999999999</v>
      </c>
      <c r="J25">
        <v>7.9753100000000003</v>
      </c>
      <c r="K25">
        <v>1.1503699999999999</v>
      </c>
      <c r="L25">
        <v>0.33</v>
      </c>
      <c r="M25">
        <v>0</v>
      </c>
      <c r="N25">
        <v>0</v>
      </c>
      <c r="O25">
        <v>0</v>
      </c>
      <c r="P25">
        <v>1.41568</v>
      </c>
      <c r="Q25">
        <v>8.7395399999999999</v>
      </c>
      <c r="R25">
        <v>1.05345</v>
      </c>
      <c r="S25">
        <v>0.33</v>
      </c>
      <c r="T25">
        <v>0</v>
      </c>
      <c r="U25">
        <v>0</v>
      </c>
      <c r="V25">
        <v>0</v>
      </c>
      <c r="W25">
        <v>1.47746</v>
      </c>
      <c r="X25">
        <v>10.99466</v>
      </c>
      <c r="Y25">
        <v>0.43787999999999999</v>
      </c>
      <c r="Z25">
        <v>0.33</v>
      </c>
      <c r="AA25">
        <v>0</v>
      </c>
      <c r="AB25">
        <v>0</v>
      </c>
      <c r="AC25">
        <v>0</v>
      </c>
      <c r="AD25">
        <v>1.5668800000000001</v>
      </c>
      <c r="AF25">
        <v>0.09</v>
      </c>
      <c r="AG25">
        <v>277650</v>
      </c>
      <c r="AH25">
        <v>0</v>
      </c>
      <c r="AI25">
        <v>0</v>
      </c>
      <c r="AJ25">
        <v>0</v>
      </c>
      <c r="AK25">
        <v>0</v>
      </c>
      <c r="AL25">
        <v>0.1</v>
      </c>
      <c r="AM25">
        <v>294759</v>
      </c>
      <c r="AN25">
        <v>0</v>
      </c>
      <c r="AO25">
        <v>0</v>
      </c>
      <c r="AP25">
        <v>0</v>
      </c>
      <c r="AQ25">
        <v>0</v>
      </c>
      <c r="AR25">
        <v>0.1</v>
      </c>
      <c r="AS25">
        <v>282188</v>
      </c>
      <c r="AT25">
        <v>0</v>
      </c>
      <c r="AU25">
        <v>0</v>
      </c>
      <c r="AV25">
        <v>0</v>
      </c>
      <c r="AW25">
        <v>0</v>
      </c>
      <c r="BA25">
        <v>472</v>
      </c>
      <c r="BB25" t="s">
        <v>217</v>
      </c>
      <c r="BC25">
        <v>1540.9</v>
      </c>
      <c r="BD25">
        <v>1600.3</v>
      </c>
    </row>
    <row r="26" spans="1:56" x14ac:dyDescent="0.25">
      <c r="A26">
        <v>472</v>
      </c>
      <c r="B26" t="s">
        <v>217</v>
      </c>
      <c r="C26">
        <v>17.592359999999999</v>
      </c>
      <c r="D26">
        <v>1.1226799999999999</v>
      </c>
      <c r="E26">
        <v>0.33</v>
      </c>
      <c r="F26">
        <v>0.82704</v>
      </c>
      <c r="G26">
        <v>0</v>
      </c>
      <c r="H26">
        <v>0</v>
      </c>
      <c r="I26">
        <v>3.1811500000000001</v>
      </c>
      <c r="J26">
        <v>15.771750000000001</v>
      </c>
      <c r="K26">
        <v>2.7692000000000001</v>
      </c>
      <c r="L26">
        <v>0.33</v>
      </c>
      <c r="M26">
        <v>0.85731000000000002</v>
      </c>
      <c r="N26">
        <v>0</v>
      </c>
      <c r="O26">
        <v>0</v>
      </c>
      <c r="P26">
        <v>3.32497</v>
      </c>
      <c r="Q26">
        <v>16.895900000000001</v>
      </c>
      <c r="R26">
        <v>1.5146299999999999</v>
      </c>
      <c r="S26">
        <v>0.33</v>
      </c>
      <c r="T26">
        <v>0.87643000000000004</v>
      </c>
      <c r="U26">
        <v>0</v>
      </c>
      <c r="V26">
        <v>0</v>
      </c>
      <c r="W26">
        <v>3.444</v>
      </c>
      <c r="X26">
        <v>17.051220000000001</v>
      </c>
      <c r="Y26">
        <v>1.52955</v>
      </c>
      <c r="Z26">
        <v>0.33</v>
      </c>
      <c r="AA26">
        <v>0.87153000000000003</v>
      </c>
      <c r="AB26">
        <v>0</v>
      </c>
      <c r="AC26">
        <v>0</v>
      </c>
      <c r="AD26">
        <v>3.51572</v>
      </c>
      <c r="AF26">
        <v>0</v>
      </c>
      <c r="AG26">
        <v>0</v>
      </c>
      <c r="AH26">
        <v>0</v>
      </c>
      <c r="AI26">
        <v>0</v>
      </c>
      <c r="AJ26">
        <v>0.02</v>
      </c>
      <c r="AK26">
        <v>156124</v>
      </c>
      <c r="AL26">
        <v>0</v>
      </c>
      <c r="AM26">
        <v>0</v>
      </c>
      <c r="AN26">
        <v>0</v>
      </c>
      <c r="AO26">
        <v>0</v>
      </c>
      <c r="AP26">
        <v>0.02</v>
      </c>
      <c r="AQ26">
        <v>144107</v>
      </c>
      <c r="AR26">
        <v>0</v>
      </c>
      <c r="AS26">
        <v>0</v>
      </c>
      <c r="AT26">
        <v>0</v>
      </c>
      <c r="AU26">
        <v>0</v>
      </c>
      <c r="AV26">
        <v>0.02</v>
      </c>
      <c r="AW26">
        <v>141083</v>
      </c>
      <c r="BA26">
        <v>504</v>
      </c>
      <c r="BB26" t="s">
        <v>218</v>
      </c>
      <c r="BC26">
        <v>647.4</v>
      </c>
      <c r="BD26">
        <v>648.9</v>
      </c>
    </row>
    <row r="27" spans="1:56" x14ac:dyDescent="0.25">
      <c r="A27">
        <v>504</v>
      </c>
      <c r="B27" t="s">
        <v>218</v>
      </c>
      <c r="C27">
        <v>9.38978</v>
      </c>
      <c r="D27">
        <v>2.3574299999999999</v>
      </c>
      <c r="E27">
        <v>0.33</v>
      </c>
      <c r="F27">
        <v>0.54613999999999996</v>
      </c>
      <c r="G27">
        <v>0</v>
      </c>
      <c r="H27">
        <v>0</v>
      </c>
      <c r="I27">
        <v>0</v>
      </c>
      <c r="J27">
        <v>9.8304299999999998</v>
      </c>
      <c r="K27">
        <v>2.1021200000000002</v>
      </c>
      <c r="L27">
        <v>0.33</v>
      </c>
      <c r="M27">
        <v>0.58289000000000002</v>
      </c>
      <c r="N27">
        <v>0</v>
      </c>
      <c r="O27">
        <v>0</v>
      </c>
      <c r="P27">
        <v>0</v>
      </c>
      <c r="Q27">
        <v>10.87006</v>
      </c>
      <c r="R27">
        <v>0.90417000000000003</v>
      </c>
      <c r="S27">
        <v>0.33</v>
      </c>
      <c r="T27">
        <v>0.59636999999999996</v>
      </c>
      <c r="U27">
        <v>0</v>
      </c>
      <c r="V27">
        <v>0</v>
      </c>
      <c r="W27">
        <v>0</v>
      </c>
      <c r="X27">
        <v>12.195600000000001</v>
      </c>
      <c r="Y27">
        <v>0.59394999999999998</v>
      </c>
      <c r="Z27">
        <v>0.33</v>
      </c>
      <c r="AA27">
        <v>0.59955999999999998</v>
      </c>
      <c r="AB27">
        <v>0</v>
      </c>
      <c r="AC27">
        <v>0</v>
      </c>
      <c r="AD27">
        <v>0</v>
      </c>
      <c r="AF27">
        <v>0.01</v>
      </c>
      <c r="AG27">
        <v>39072</v>
      </c>
      <c r="AH27">
        <v>0</v>
      </c>
      <c r="AI27">
        <v>0</v>
      </c>
      <c r="AJ27">
        <v>0.01</v>
      </c>
      <c r="AK27">
        <v>39072</v>
      </c>
      <c r="AL27">
        <v>0.01</v>
      </c>
      <c r="AM27">
        <v>34317</v>
      </c>
      <c r="AN27">
        <v>0</v>
      </c>
      <c r="AO27">
        <v>0</v>
      </c>
      <c r="AP27">
        <v>0.01</v>
      </c>
      <c r="AQ27">
        <v>34317</v>
      </c>
      <c r="AR27">
        <v>0.05</v>
      </c>
      <c r="AS27">
        <v>158625</v>
      </c>
      <c r="AT27">
        <v>0</v>
      </c>
      <c r="AU27">
        <v>0</v>
      </c>
      <c r="AV27">
        <v>0.01</v>
      </c>
      <c r="AW27">
        <v>31725</v>
      </c>
      <c r="BA27">
        <v>513</v>
      </c>
      <c r="BB27" t="s">
        <v>219</v>
      </c>
      <c r="BC27">
        <v>353.3</v>
      </c>
      <c r="BD27">
        <v>359.4</v>
      </c>
    </row>
    <row r="28" spans="1:56" x14ac:dyDescent="0.25">
      <c r="A28">
        <v>513</v>
      </c>
      <c r="B28" t="s">
        <v>219</v>
      </c>
      <c r="C28">
        <v>10.736470000000001</v>
      </c>
      <c r="D28">
        <v>1.8754999999999999</v>
      </c>
      <c r="E28">
        <v>0.33</v>
      </c>
      <c r="F28">
        <v>0.23780000000000001</v>
      </c>
      <c r="G28">
        <v>0</v>
      </c>
      <c r="H28">
        <v>0</v>
      </c>
      <c r="I28">
        <v>3.9809199999999998</v>
      </c>
      <c r="J28">
        <v>12.785019999999999</v>
      </c>
      <c r="K28">
        <v>2.53837</v>
      </c>
      <c r="L28">
        <v>0.33</v>
      </c>
      <c r="M28">
        <v>0.31730000000000003</v>
      </c>
      <c r="N28">
        <v>0</v>
      </c>
      <c r="O28">
        <v>0</v>
      </c>
      <c r="P28">
        <v>3.65821</v>
      </c>
      <c r="Q28">
        <v>13.118460000000001</v>
      </c>
      <c r="R28">
        <v>2.1648800000000001</v>
      </c>
      <c r="S28">
        <v>0.33</v>
      </c>
      <c r="T28">
        <v>0.33291999999999999</v>
      </c>
      <c r="U28">
        <v>0</v>
      </c>
      <c r="V28">
        <v>0</v>
      </c>
      <c r="W28">
        <v>3.77786</v>
      </c>
      <c r="X28">
        <v>14.44608</v>
      </c>
      <c r="Y28">
        <v>1.5746100000000001</v>
      </c>
      <c r="Z28">
        <v>0</v>
      </c>
      <c r="AA28">
        <v>0.33256999999999998</v>
      </c>
      <c r="AB28">
        <v>0</v>
      </c>
      <c r="AC28">
        <v>0</v>
      </c>
      <c r="AD28">
        <v>3.4424199999999998</v>
      </c>
      <c r="AF28">
        <v>0.09</v>
      </c>
      <c r="AG28">
        <v>142927</v>
      </c>
      <c r="AH28">
        <v>0</v>
      </c>
      <c r="AI28">
        <v>0</v>
      </c>
      <c r="AJ28">
        <v>0.02</v>
      </c>
      <c r="AK28">
        <v>31762</v>
      </c>
      <c r="AL28">
        <v>0.09</v>
      </c>
      <c r="AM28">
        <v>131758</v>
      </c>
      <c r="AN28">
        <v>0</v>
      </c>
      <c r="AO28">
        <v>0</v>
      </c>
      <c r="AP28">
        <v>0.02</v>
      </c>
      <c r="AQ28">
        <v>29280</v>
      </c>
      <c r="AR28">
        <v>0.09</v>
      </c>
      <c r="AS28">
        <v>128233</v>
      </c>
      <c r="AT28">
        <v>0</v>
      </c>
      <c r="AU28">
        <v>0</v>
      </c>
      <c r="AV28">
        <v>0.02</v>
      </c>
      <c r="AW28">
        <v>28496</v>
      </c>
      <c r="BA28">
        <v>540</v>
      </c>
      <c r="BB28" t="s">
        <v>599</v>
      </c>
      <c r="BC28">
        <v>582.70000000000005</v>
      </c>
      <c r="BD28">
        <v>578.5</v>
      </c>
    </row>
    <row r="29" spans="1:56" x14ac:dyDescent="0.25">
      <c r="A29">
        <v>540</v>
      </c>
      <c r="B29" t="s">
        <v>599</v>
      </c>
      <c r="C29">
        <v>9.5695599999999992</v>
      </c>
      <c r="D29">
        <v>0.87539999999999996</v>
      </c>
      <c r="E29">
        <v>0.33</v>
      </c>
      <c r="F29">
        <v>0.67</v>
      </c>
      <c r="G29">
        <v>0.13500000000000001</v>
      </c>
      <c r="H29">
        <v>0</v>
      </c>
      <c r="I29">
        <v>1.6080300000000001</v>
      </c>
      <c r="J29">
        <v>8.9694800000000008</v>
      </c>
      <c r="K29">
        <v>1.0596699999999999</v>
      </c>
      <c r="L29">
        <v>0.33</v>
      </c>
      <c r="M29">
        <v>0.67</v>
      </c>
      <c r="N29">
        <v>0.13500000000000001</v>
      </c>
      <c r="O29">
        <v>0</v>
      </c>
      <c r="P29">
        <v>1.68787</v>
      </c>
      <c r="Q29">
        <v>9.5102799999999998</v>
      </c>
      <c r="R29">
        <v>1.4563600000000001</v>
      </c>
      <c r="S29">
        <v>0.33</v>
      </c>
      <c r="T29">
        <v>0</v>
      </c>
      <c r="U29">
        <v>0.13500000000000001</v>
      </c>
      <c r="V29">
        <v>0</v>
      </c>
      <c r="W29">
        <v>1.75204</v>
      </c>
      <c r="X29">
        <v>10.110989999999999</v>
      </c>
      <c r="Y29">
        <v>0.93720999999999999</v>
      </c>
      <c r="Z29">
        <v>0.33</v>
      </c>
      <c r="AA29">
        <v>0</v>
      </c>
      <c r="AB29">
        <v>0.13500000000000001</v>
      </c>
      <c r="AC29">
        <v>0</v>
      </c>
      <c r="AD29">
        <v>1.8206199999999999</v>
      </c>
      <c r="AF29">
        <v>0.09</v>
      </c>
      <c r="AG29">
        <v>286226</v>
      </c>
      <c r="AH29">
        <v>0</v>
      </c>
      <c r="AI29">
        <v>0</v>
      </c>
      <c r="AJ29">
        <v>0</v>
      </c>
      <c r="AK29">
        <v>0</v>
      </c>
      <c r="AL29">
        <v>0.1</v>
      </c>
      <c r="AM29">
        <v>284052</v>
      </c>
      <c r="AN29">
        <v>0</v>
      </c>
      <c r="AO29">
        <v>0</v>
      </c>
      <c r="AP29">
        <v>0</v>
      </c>
      <c r="AQ29">
        <v>0</v>
      </c>
      <c r="AR29">
        <v>0.1</v>
      </c>
      <c r="AS29">
        <v>279860</v>
      </c>
      <c r="AT29">
        <v>0</v>
      </c>
      <c r="AU29">
        <v>0</v>
      </c>
      <c r="AV29">
        <v>0</v>
      </c>
      <c r="AW29">
        <v>0</v>
      </c>
      <c r="BA29">
        <v>549</v>
      </c>
      <c r="BB29" t="s">
        <v>220</v>
      </c>
      <c r="BC29">
        <v>496.3</v>
      </c>
      <c r="BD29">
        <v>470.2</v>
      </c>
    </row>
    <row r="30" spans="1:56" x14ac:dyDescent="0.25">
      <c r="A30">
        <v>549</v>
      </c>
      <c r="B30" t="s">
        <v>220</v>
      </c>
      <c r="C30">
        <v>11.4642</v>
      </c>
      <c r="D30">
        <v>0.89005000000000001</v>
      </c>
      <c r="E30">
        <v>0.33</v>
      </c>
      <c r="F30">
        <v>0</v>
      </c>
      <c r="G30">
        <v>0</v>
      </c>
      <c r="H30">
        <v>0</v>
      </c>
      <c r="I30">
        <v>0</v>
      </c>
      <c r="J30">
        <v>11.39648</v>
      </c>
      <c r="K30">
        <v>0.95721000000000001</v>
      </c>
      <c r="L30">
        <v>0.33</v>
      </c>
      <c r="M30">
        <v>0</v>
      </c>
      <c r="N30">
        <v>0</v>
      </c>
      <c r="O30">
        <v>0</v>
      </c>
      <c r="P30">
        <v>0</v>
      </c>
      <c r="Q30">
        <v>11.23414</v>
      </c>
      <c r="R30">
        <v>1.4988900000000001</v>
      </c>
      <c r="S30">
        <v>0.33</v>
      </c>
      <c r="T30">
        <v>0</v>
      </c>
      <c r="U30">
        <v>0</v>
      </c>
      <c r="V30">
        <v>0</v>
      </c>
      <c r="W30">
        <v>0</v>
      </c>
      <c r="X30">
        <v>11.102539999999999</v>
      </c>
      <c r="Y30">
        <v>1.2738700000000001</v>
      </c>
      <c r="Z30">
        <v>0.33</v>
      </c>
      <c r="AA30">
        <v>0.13224</v>
      </c>
      <c r="AB30">
        <v>0</v>
      </c>
      <c r="AC30">
        <v>0</v>
      </c>
      <c r="AD30">
        <v>0.33284999999999998</v>
      </c>
      <c r="AF30">
        <v>0.1</v>
      </c>
      <c r="AG30">
        <v>181013</v>
      </c>
      <c r="AH30">
        <v>0</v>
      </c>
      <c r="AI30">
        <v>0</v>
      </c>
      <c r="AJ30">
        <v>0</v>
      </c>
      <c r="AK30">
        <v>0</v>
      </c>
      <c r="AL30">
        <v>0.1</v>
      </c>
      <c r="AM30">
        <v>171580</v>
      </c>
      <c r="AN30">
        <v>0</v>
      </c>
      <c r="AO30">
        <v>0</v>
      </c>
      <c r="AP30">
        <v>0</v>
      </c>
      <c r="AQ30">
        <v>0</v>
      </c>
      <c r="AR30">
        <v>0.1</v>
      </c>
      <c r="AS30">
        <v>161461</v>
      </c>
      <c r="AT30">
        <v>0</v>
      </c>
      <c r="AU30">
        <v>0</v>
      </c>
      <c r="AV30">
        <v>0</v>
      </c>
      <c r="AW30">
        <v>0</v>
      </c>
      <c r="BA30">
        <v>576</v>
      </c>
      <c r="BB30" t="s">
        <v>221</v>
      </c>
      <c r="BC30">
        <v>576.5</v>
      </c>
      <c r="BD30">
        <v>557.6</v>
      </c>
    </row>
    <row r="31" spans="1:56" x14ac:dyDescent="0.25">
      <c r="A31">
        <v>576</v>
      </c>
      <c r="B31" t="s">
        <v>221</v>
      </c>
      <c r="C31">
        <v>9.6099700000000006</v>
      </c>
      <c r="D31">
        <v>0.69499999999999995</v>
      </c>
      <c r="E31">
        <v>0.33</v>
      </c>
      <c r="F31">
        <v>1.14757</v>
      </c>
      <c r="G31">
        <v>0</v>
      </c>
      <c r="H31">
        <v>0</v>
      </c>
      <c r="I31">
        <v>2.2291400000000001</v>
      </c>
      <c r="J31">
        <v>10.308059999999999</v>
      </c>
      <c r="K31">
        <v>1.76756</v>
      </c>
      <c r="L31">
        <v>0.33</v>
      </c>
      <c r="M31">
        <v>1.1701600000000001</v>
      </c>
      <c r="N31">
        <v>0</v>
      </c>
      <c r="O31">
        <v>0</v>
      </c>
      <c r="P31">
        <v>2.2334000000000001</v>
      </c>
      <c r="Q31">
        <v>10.346590000000001</v>
      </c>
      <c r="R31">
        <v>2.3892899999999999</v>
      </c>
      <c r="S31">
        <v>0.33</v>
      </c>
      <c r="T31">
        <v>1.1614199999999999</v>
      </c>
      <c r="U31">
        <v>0</v>
      </c>
      <c r="V31">
        <v>0</v>
      </c>
      <c r="W31">
        <v>2.3416199999999998</v>
      </c>
      <c r="X31">
        <v>13.018829999999999</v>
      </c>
      <c r="Y31">
        <v>1.7915700000000001</v>
      </c>
      <c r="Z31">
        <v>0.33</v>
      </c>
      <c r="AA31">
        <v>1.14652</v>
      </c>
      <c r="AB31">
        <v>0</v>
      </c>
      <c r="AC31">
        <v>0</v>
      </c>
      <c r="AD31">
        <v>2.4489399999999999</v>
      </c>
      <c r="AF31">
        <v>0.09</v>
      </c>
      <c r="AG31">
        <v>222365</v>
      </c>
      <c r="AH31">
        <v>0</v>
      </c>
      <c r="AI31">
        <v>0</v>
      </c>
      <c r="AJ31">
        <v>0.01</v>
      </c>
      <c r="AK31">
        <v>24707</v>
      </c>
      <c r="AL31">
        <v>0.09</v>
      </c>
      <c r="AM31">
        <v>222862</v>
      </c>
      <c r="AN31">
        <v>0</v>
      </c>
      <c r="AO31">
        <v>0</v>
      </c>
      <c r="AP31">
        <v>0.01</v>
      </c>
      <c r="AQ31">
        <v>24762</v>
      </c>
      <c r="AR31">
        <v>0.09</v>
      </c>
      <c r="AS31">
        <v>229714</v>
      </c>
      <c r="AT31">
        <v>0</v>
      </c>
      <c r="AU31">
        <v>0</v>
      </c>
      <c r="AV31">
        <v>0.01</v>
      </c>
      <c r="AW31">
        <v>25524</v>
      </c>
      <c r="BA31">
        <v>585</v>
      </c>
      <c r="BB31" t="s">
        <v>222</v>
      </c>
      <c r="BC31">
        <v>568.6</v>
      </c>
      <c r="BD31">
        <v>579.70000000000005</v>
      </c>
    </row>
    <row r="32" spans="1:56" x14ac:dyDescent="0.25">
      <c r="A32">
        <v>585</v>
      </c>
      <c r="B32" t="s">
        <v>222</v>
      </c>
      <c r="C32">
        <v>10.03016</v>
      </c>
      <c r="D32">
        <v>1.33003</v>
      </c>
      <c r="E32">
        <v>0.33</v>
      </c>
      <c r="F32">
        <v>0.59652000000000005</v>
      </c>
      <c r="G32">
        <v>0</v>
      </c>
      <c r="H32">
        <v>0</v>
      </c>
      <c r="I32">
        <v>0</v>
      </c>
      <c r="J32">
        <v>10.065530000000001</v>
      </c>
      <c r="K32">
        <v>1.46885</v>
      </c>
      <c r="L32">
        <v>0.33</v>
      </c>
      <c r="M32">
        <v>0.81171000000000004</v>
      </c>
      <c r="N32">
        <v>0</v>
      </c>
      <c r="O32">
        <v>0</v>
      </c>
      <c r="P32">
        <v>0</v>
      </c>
      <c r="Q32">
        <v>11.524319999999999</v>
      </c>
      <c r="R32">
        <v>0.77300000000000002</v>
      </c>
      <c r="S32">
        <v>0.33</v>
      </c>
      <c r="T32">
        <v>0.71641999999999995</v>
      </c>
      <c r="U32">
        <v>0</v>
      </c>
      <c r="V32">
        <v>0</v>
      </c>
      <c r="W32">
        <v>0</v>
      </c>
      <c r="X32">
        <v>12.34708</v>
      </c>
      <c r="Y32">
        <v>0.77578999999999998</v>
      </c>
      <c r="Z32">
        <v>0.33</v>
      </c>
      <c r="AA32">
        <v>0.53425999999999996</v>
      </c>
      <c r="AB32">
        <v>0</v>
      </c>
      <c r="AC32">
        <v>0</v>
      </c>
      <c r="AD32">
        <v>0</v>
      </c>
      <c r="AF32">
        <v>0</v>
      </c>
      <c r="AG32">
        <v>0</v>
      </c>
      <c r="AH32">
        <v>0</v>
      </c>
      <c r="AI32">
        <v>0</v>
      </c>
      <c r="AJ32">
        <v>0.03</v>
      </c>
      <c r="AK32">
        <v>118644</v>
      </c>
      <c r="AL32">
        <v>0</v>
      </c>
      <c r="AM32">
        <v>0</v>
      </c>
      <c r="AN32">
        <v>0</v>
      </c>
      <c r="AO32">
        <v>0</v>
      </c>
      <c r="AP32">
        <v>0.03</v>
      </c>
      <c r="AQ32">
        <v>125905</v>
      </c>
      <c r="AR32">
        <v>0</v>
      </c>
      <c r="AS32">
        <v>0</v>
      </c>
      <c r="AT32">
        <v>0</v>
      </c>
      <c r="AU32">
        <v>0</v>
      </c>
      <c r="AV32">
        <v>0.04</v>
      </c>
      <c r="AW32">
        <v>153764</v>
      </c>
      <c r="BA32">
        <v>594</v>
      </c>
      <c r="BB32" t="s">
        <v>223</v>
      </c>
      <c r="BC32">
        <v>765.5</v>
      </c>
      <c r="BD32">
        <v>796.4</v>
      </c>
    </row>
    <row r="33" spans="1:56" x14ac:dyDescent="0.25">
      <c r="A33">
        <v>594</v>
      </c>
      <c r="B33" t="s">
        <v>223</v>
      </c>
      <c r="C33">
        <v>11.290979999999999</v>
      </c>
      <c r="D33">
        <v>1.1510199999999999</v>
      </c>
      <c r="E33">
        <v>0.33</v>
      </c>
      <c r="F33">
        <v>0.67</v>
      </c>
      <c r="G33">
        <v>0</v>
      </c>
      <c r="H33">
        <v>0</v>
      </c>
      <c r="I33">
        <v>2.6991100000000001</v>
      </c>
      <c r="J33">
        <v>12.74999</v>
      </c>
      <c r="K33">
        <v>1.2937399999999999</v>
      </c>
      <c r="L33">
        <v>0.33</v>
      </c>
      <c r="M33">
        <v>0.67</v>
      </c>
      <c r="N33">
        <v>0</v>
      </c>
      <c r="O33">
        <v>0</v>
      </c>
      <c r="P33">
        <v>1.07297</v>
      </c>
      <c r="Q33">
        <v>13.343170000000001</v>
      </c>
      <c r="R33">
        <v>0.94659000000000004</v>
      </c>
      <c r="S33">
        <v>0.33</v>
      </c>
      <c r="T33">
        <v>0.67</v>
      </c>
      <c r="U33">
        <v>0</v>
      </c>
      <c r="V33">
        <v>0</v>
      </c>
      <c r="W33">
        <v>1.09989</v>
      </c>
      <c r="X33">
        <v>13.58428</v>
      </c>
      <c r="Y33">
        <v>0.69787999999999994</v>
      </c>
      <c r="Z33">
        <v>0.33</v>
      </c>
      <c r="AA33">
        <v>0.67</v>
      </c>
      <c r="AB33">
        <v>0</v>
      </c>
      <c r="AC33">
        <v>0</v>
      </c>
      <c r="AD33">
        <v>1.0989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0.03</v>
      </c>
      <c r="AM33">
        <v>94666</v>
      </c>
      <c r="AN33">
        <v>0</v>
      </c>
      <c r="AO33">
        <v>0</v>
      </c>
      <c r="AP33">
        <v>0</v>
      </c>
      <c r="AQ33">
        <v>0</v>
      </c>
      <c r="AR33">
        <v>0.03</v>
      </c>
      <c r="AS33">
        <v>94239</v>
      </c>
      <c r="AT33">
        <v>0</v>
      </c>
      <c r="AU33">
        <v>0</v>
      </c>
      <c r="AV33">
        <v>0</v>
      </c>
      <c r="AW33">
        <v>0</v>
      </c>
      <c r="BA33">
        <v>603</v>
      </c>
      <c r="BB33" t="s">
        <v>224</v>
      </c>
      <c r="BC33">
        <v>196</v>
      </c>
      <c r="BD33">
        <v>194.3</v>
      </c>
    </row>
    <row r="34" spans="1:56" x14ac:dyDescent="0.25">
      <c r="A34">
        <v>603</v>
      </c>
      <c r="B34" t="s">
        <v>224</v>
      </c>
      <c r="C34">
        <v>10.4542</v>
      </c>
      <c r="D34">
        <v>0.63885000000000003</v>
      </c>
      <c r="E34">
        <v>0.33</v>
      </c>
      <c r="F34">
        <v>0.67</v>
      </c>
      <c r="G34">
        <v>0</v>
      </c>
      <c r="H34">
        <v>0</v>
      </c>
      <c r="I34">
        <v>0</v>
      </c>
      <c r="J34">
        <v>9.6981000000000002</v>
      </c>
      <c r="K34">
        <v>0.39394000000000001</v>
      </c>
      <c r="L34">
        <v>0.33</v>
      </c>
      <c r="M34">
        <v>0.67</v>
      </c>
      <c r="N34">
        <v>0</v>
      </c>
      <c r="O34">
        <v>0</v>
      </c>
      <c r="P34">
        <v>0</v>
      </c>
      <c r="Q34">
        <v>10.76186</v>
      </c>
      <c r="R34">
        <v>0.29718</v>
      </c>
      <c r="S34">
        <v>0.33</v>
      </c>
      <c r="T34">
        <v>0.67</v>
      </c>
      <c r="U34">
        <v>0</v>
      </c>
      <c r="V34">
        <v>0</v>
      </c>
      <c r="W34">
        <v>0</v>
      </c>
      <c r="X34">
        <v>11.4724</v>
      </c>
      <c r="Y34">
        <v>0</v>
      </c>
      <c r="Z34">
        <v>0.33</v>
      </c>
      <c r="AA34">
        <v>0.67</v>
      </c>
      <c r="AB34">
        <v>0</v>
      </c>
      <c r="AC34">
        <v>0</v>
      </c>
      <c r="AD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0.08</v>
      </c>
      <c r="AM34">
        <v>94144</v>
      </c>
      <c r="AN34">
        <v>0</v>
      </c>
      <c r="AO34">
        <v>0</v>
      </c>
      <c r="AP34">
        <v>0</v>
      </c>
      <c r="AQ34">
        <v>0</v>
      </c>
      <c r="AR34">
        <v>0.08</v>
      </c>
      <c r="AS34">
        <v>92820</v>
      </c>
      <c r="AT34">
        <v>0</v>
      </c>
      <c r="AU34">
        <v>0</v>
      </c>
      <c r="AV34">
        <v>0</v>
      </c>
      <c r="AW34">
        <v>0</v>
      </c>
      <c r="BA34">
        <v>609</v>
      </c>
      <c r="BB34" t="s">
        <v>225</v>
      </c>
      <c r="BC34">
        <v>1492.6</v>
      </c>
      <c r="BD34">
        <v>1496</v>
      </c>
    </row>
    <row r="35" spans="1:56" x14ac:dyDescent="0.25">
      <c r="A35">
        <v>609</v>
      </c>
      <c r="B35" t="s">
        <v>225</v>
      </c>
      <c r="C35">
        <v>11.09276</v>
      </c>
      <c r="D35">
        <v>0.70209999999999995</v>
      </c>
      <c r="E35">
        <v>0.33</v>
      </c>
      <c r="F35">
        <v>0</v>
      </c>
      <c r="G35">
        <v>0</v>
      </c>
      <c r="H35">
        <v>0</v>
      </c>
      <c r="I35">
        <v>0</v>
      </c>
      <c r="J35">
        <v>11.364140000000001</v>
      </c>
      <c r="K35">
        <v>0.61523000000000005</v>
      </c>
      <c r="L35">
        <v>0.33</v>
      </c>
      <c r="M35">
        <v>0</v>
      </c>
      <c r="N35">
        <v>0</v>
      </c>
      <c r="O35">
        <v>0</v>
      </c>
      <c r="P35">
        <v>0</v>
      </c>
      <c r="Q35">
        <v>11.970890000000001</v>
      </c>
      <c r="R35">
        <v>0.54754999999999998</v>
      </c>
      <c r="S35">
        <v>0.33</v>
      </c>
      <c r="T35">
        <v>0</v>
      </c>
      <c r="U35">
        <v>0</v>
      </c>
      <c r="V35">
        <v>0</v>
      </c>
      <c r="W35">
        <v>0</v>
      </c>
      <c r="X35">
        <v>11.76726</v>
      </c>
      <c r="Y35">
        <v>0.60419</v>
      </c>
      <c r="Z35">
        <v>0.33</v>
      </c>
      <c r="AA35">
        <v>0</v>
      </c>
      <c r="AB35">
        <v>0</v>
      </c>
      <c r="AC35">
        <v>0</v>
      </c>
      <c r="AD35">
        <v>0</v>
      </c>
      <c r="AF35">
        <v>0.05</v>
      </c>
      <c r="AG35">
        <v>466628</v>
      </c>
      <c r="AH35">
        <v>0</v>
      </c>
      <c r="AI35">
        <v>0</v>
      </c>
      <c r="AJ35">
        <v>0</v>
      </c>
      <c r="AK35">
        <v>0</v>
      </c>
      <c r="AL35">
        <v>7.0000000000000007E-2</v>
      </c>
      <c r="AM35">
        <v>614976</v>
      </c>
      <c r="AN35">
        <v>0</v>
      </c>
      <c r="AO35">
        <v>0</v>
      </c>
      <c r="AP35">
        <v>0</v>
      </c>
      <c r="AQ35">
        <v>0</v>
      </c>
      <c r="AR35">
        <v>7.0000000000000007E-2</v>
      </c>
      <c r="AS35">
        <v>603757</v>
      </c>
      <c r="AT35">
        <v>0</v>
      </c>
      <c r="AU35">
        <v>0</v>
      </c>
      <c r="AV35">
        <v>0</v>
      </c>
      <c r="AW35">
        <v>0</v>
      </c>
      <c r="BA35">
        <v>621</v>
      </c>
      <c r="BB35" t="s">
        <v>226</v>
      </c>
      <c r="BC35">
        <v>4045.8</v>
      </c>
      <c r="BD35">
        <v>4010.9</v>
      </c>
    </row>
    <row r="36" spans="1:56" x14ac:dyDescent="0.25">
      <c r="A36">
        <v>621</v>
      </c>
      <c r="B36" t="s">
        <v>226</v>
      </c>
      <c r="C36">
        <v>10.756360000000001</v>
      </c>
      <c r="D36">
        <v>1.59</v>
      </c>
      <c r="E36">
        <v>0.33</v>
      </c>
      <c r="F36">
        <v>1.34</v>
      </c>
      <c r="G36">
        <v>0</v>
      </c>
      <c r="H36">
        <v>0</v>
      </c>
      <c r="I36">
        <v>0</v>
      </c>
      <c r="J36">
        <v>11.73629</v>
      </c>
      <c r="K36">
        <v>1.1399999999999999</v>
      </c>
      <c r="L36">
        <v>0.33</v>
      </c>
      <c r="M36">
        <v>1.34</v>
      </c>
      <c r="N36">
        <v>0</v>
      </c>
      <c r="O36">
        <v>0</v>
      </c>
      <c r="P36">
        <v>0</v>
      </c>
      <c r="Q36">
        <v>12.92292</v>
      </c>
      <c r="R36">
        <v>0.41</v>
      </c>
      <c r="S36">
        <v>0.33</v>
      </c>
      <c r="T36">
        <v>1.34</v>
      </c>
      <c r="U36">
        <v>0</v>
      </c>
      <c r="V36">
        <v>0</v>
      </c>
      <c r="W36">
        <v>0</v>
      </c>
      <c r="X36">
        <v>12.92244</v>
      </c>
      <c r="Y36">
        <v>0.41</v>
      </c>
      <c r="Z36">
        <v>0.33</v>
      </c>
      <c r="AA36">
        <v>1.34</v>
      </c>
      <c r="AB36">
        <v>0</v>
      </c>
      <c r="AC36">
        <v>0</v>
      </c>
      <c r="AD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BA36">
        <v>720</v>
      </c>
      <c r="BB36" t="s">
        <v>227</v>
      </c>
      <c r="BC36">
        <v>1466.7</v>
      </c>
      <c r="BD36">
        <v>1595.9</v>
      </c>
    </row>
    <row r="37" spans="1:56" s="24" customFormat="1" x14ac:dyDescent="0.25">
      <c r="A37" s="24">
        <v>657</v>
      </c>
      <c r="B37" s="24" t="s">
        <v>298</v>
      </c>
      <c r="C37" s="24">
        <v>8.7547300000000003</v>
      </c>
      <c r="D37" s="24">
        <v>1.0520799999999999</v>
      </c>
      <c r="E37" s="24">
        <v>0.33</v>
      </c>
      <c r="F37" s="24">
        <v>0</v>
      </c>
      <c r="G37" s="24">
        <v>0</v>
      </c>
      <c r="H37" s="24">
        <v>0</v>
      </c>
      <c r="I37" s="24">
        <v>0</v>
      </c>
      <c r="J37" s="24">
        <v>8.5949600000000004</v>
      </c>
      <c r="K37" s="24">
        <v>1.17283</v>
      </c>
      <c r="L37" s="24">
        <v>0.33</v>
      </c>
      <c r="M37" s="24">
        <v>0</v>
      </c>
      <c r="N37" s="24">
        <v>0</v>
      </c>
      <c r="O37" s="24">
        <v>0</v>
      </c>
      <c r="P37" s="24">
        <v>0</v>
      </c>
      <c r="Q37" s="24">
        <v>8.8047400000000007</v>
      </c>
      <c r="R37" s="24">
        <v>1.4485300000000001</v>
      </c>
      <c r="S37" s="24">
        <v>0.33</v>
      </c>
      <c r="T37" s="24">
        <v>0</v>
      </c>
      <c r="U37" s="24">
        <v>0</v>
      </c>
      <c r="V37" s="24">
        <v>0</v>
      </c>
      <c r="W37" s="24">
        <v>0</v>
      </c>
      <c r="X37" s="24">
        <v>11.096209999999999</v>
      </c>
      <c r="Y37" s="24">
        <v>0.73546</v>
      </c>
      <c r="Z37" s="24">
        <v>0.33</v>
      </c>
      <c r="AA37" s="24">
        <v>0</v>
      </c>
      <c r="AB37" s="24">
        <v>0</v>
      </c>
      <c r="AC37" s="24">
        <v>0</v>
      </c>
      <c r="AD37" s="24">
        <v>0</v>
      </c>
      <c r="AF37" s="24">
        <v>0.05</v>
      </c>
      <c r="AG37" s="24">
        <v>153751</v>
      </c>
      <c r="AH37" s="24">
        <v>0</v>
      </c>
      <c r="AI37" s="24">
        <v>0</v>
      </c>
      <c r="AJ37" s="24">
        <v>0</v>
      </c>
      <c r="AK37" s="24">
        <v>0</v>
      </c>
      <c r="AL37" s="24">
        <v>0.05</v>
      </c>
      <c r="AM37" s="24">
        <v>143269</v>
      </c>
      <c r="AN37" s="24">
        <v>0</v>
      </c>
      <c r="AO37" s="24">
        <v>0</v>
      </c>
      <c r="AP37" s="24">
        <v>0</v>
      </c>
      <c r="AQ37" s="24">
        <v>0</v>
      </c>
      <c r="AR37" s="24">
        <v>0.1</v>
      </c>
      <c r="AS37" s="24">
        <v>230822</v>
      </c>
      <c r="AT37" s="24">
        <v>0</v>
      </c>
      <c r="AU37" s="24">
        <v>0</v>
      </c>
      <c r="AV37" s="24">
        <v>0</v>
      </c>
      <c r="AW37" s="24">
        <v>0</v>
      </c>
      <c r="BA37" s="24">
        <v>729</v>
      </c>
      <c r="BB37" s="24" t="s">
        <v>228</v>
      </c>
      <c r="BC37" s="24">
        <v>2184.1999999999998</v>
      </c>
      <c r="BD37" s="24">
        <v>2142.8000000000002</v>
      </c>
    </row>
    <row r="38" spans="1:56" x14ac:dyDescent="0.25">
      <c r="A38">
        <v>720</v>
      </c>
      <c r="B38" t="s">
        <v>227</v>
      </c>
      <c r="C38">
        <v>11.415229999999999</v>
      </c>
      <c r="D38">
        <v>1.6241399999999999</v>
      </c>
      <c r="E38">
        <v>0.33</v>
      </c>
      <c r="F38">
        <v>1.34</v>
      </c>
      <c r="G38">
        <v>0</v>
      </c>
      <c r="H38">
        <v>0</v>
      </c>
      <c r="I38">
        <v>3.78077</v>
      </c>
      <c r="J38">
        <v>10.95749</v>
      </c>
      <c r="K38">
        <v>1.6683699999999999</v>
      </c>
      <c r="L38">
        <v>0.33</v>
      </c>
      <c r="M38">
        <v>1.34</v>
      </c>
      <c r="N38">
        <v>0</v>
      </c>
      <c r="O38">
        <v>0</v>
      </c>
      <c r="P38">
        <v>4.0364300000000002</v>
      </c>
      <c r="Q38">
        <v>12.281739999999999</v>
      </c>
      <c r="R38">
        <v>1.2458899999999999</v>
      </c>
      <c r="S38">
        <v>0.33</v>
      </c>
      <c r="T38">
        <v>1.34</v>
      </c>
      <c r="U38">
        <v>0</v>
      </c>
      <c r="V38">
        <v>0</v>
      </c>
      <c r="W38">
        <v>4.0461099999999997</v>
      </c>
      <c r="X38">
        <v>14.542120000000001</v>
      </c>
      <c r="Y38">
        <v>0.85396000000000005</v>
      </c>
      <c r="Z38">
        <v>0.33</v>
      </c>
      <c r="AA38">
        <v>1.34</v>
      </c>
      <c r="AB38">
        <v>0</v>
      </c>
      <c r="AC38">
        <v>0</v>
      </c>
      <c r="AD38">
        <v>2.7637200000000002</v>
      </c>
      <c r="AF38">
        <v>0.03</v>
      </c>
      <c r="AG38">
        <v>198748</v>
      </c>
      <c r="AH38">
        <v>0</v>
      </c>
      <c r="AI38">
        <v>0</v>
      </c>
      <c r="AJ38">
        <v>0</v>
      </c>
      <c r="AK38">
        <v>0</v>
      </c>
      <c r="AL38">
        <v>0.03</v>
      </c>
      <c r="AM38">
        <v>185687</v>
      </c>
      <c r="AN38">
        <v>0</v>
      </c>
      <c r="AO38">
        <v>0</v>
      </c>
      <c r="AP38">
        <v>0</v>
      </c>
      <c r="AQ38">
        <v>0</v>
      </c>
      <c r="AR38">
        <v>0.03</v>
      </c>
      <c r="AS38">
        <v>178223</v>
      </c>
      <c r="AT38">
        <v>0</v>
      </c>
      <c r="AU38">
        <v>0</v>
      </c>
      <c r="AV38">
        <v>0</v>
      </c>
      <c r="AW38">
        <v>0</v>
      </c>
      <c r="BA38">
        <v>747</v>
      </c>
      <c r="BB38" t="s">
        <v>229</v>
      </c>
      <c r="BC38">
        <v>628.9</v>
      </c>
      <c r="BD38">
        <v>608.5</v>
      </c>
    </row>
    <row r="39" spans="1:56" x14ac:dyDescent="0.25">
      <c r="A39">
        <v>729</v>
      </c>
      <c r="B39" t="s">
        <v>228</v>
      </c>
      <c r="C39">
        <v>12.096349999999999</v>
      </c>
      <c r="D39">
        <v>0.81681000000000004</v>
      </c>
      <c r="E39">
        <v>0.33</v>
      </c>
      <c r="F39">
        <v>1.34</v>
      </c>
      <c r="G39">
        <v>0.13500000000000001</v>
      </c>
      <c r="H39">
        <v>0</v>
      </c>
      <c r="I39">
        <v>2.9241899999999998</v>
      </c>
      <c r="J39">
        <v>10.972479999999999</v>
      </c>
      <c r="K39">
        <v>1.5102899999999999</v>
      </c>
      <c r="L39">
        <v>0.33</v>
      </c>
      <c r="M39">
        <v>1.34</v>
      </c>
      <c r="N39">
        <v>0</v>
      </c>
      <c r="O39">
        <v>0</v>
      </c>
      <c r="P39">
        <v>2.2301600000000001</v>
      </c>
      <c r="Q39">
        <v>11.25422</v>
      </c>
      <c r="R39">
        <v>1.47976</v>
      </c>
      <c r="S39">
        <v>0.33</v>
      </c>
      <c r="T39">
        <v>1.34</v>
      </c>
      <c r="U39">
        <v>0</v>
      </c>
      <c r="V39">
        <v>0</v>
      </c>
      <c r="W39">
        <v>2.22383</v>
      </c>
      <c r="X39">
        <v>13.800190000000001</v>
      </c>
      <c r="Y39">
        <v>0.94103999999999999</v>
      </c>
      <c r="Z39">
        <v>0.33</v>
      </c>
      <c r="AA39">
        <v>1.34</v>
      </c>
      <c r="AB39">
        <v>0</v>
      </c>
      <c r="AC39">
        <v>0</v>
      </c>
      <c r="AD39">
        <v>0.15</v>
      </c>
      <c r="AF39">
        <v>7.0000000000000007E-2</v>
      </c>
      <c r="AG39">
        <v>853318</v>
      </c>
      <c r="AH39">
        <v>0</v>
      </c>
      <c r="AI39">
        <v>0</v>
      </c>
      <c r="AJ39">
        <v>0</v>
      </c>
      <c r="AK39">
        <v>0</v>
      </c>
      <c r="AL39">
        <v>7.0000000000000007E-2</v>
      </c>
      <c r="AM39">
        <v>811428</v>
      </c>
      <c r="AN39">
        <v>0</v>
      </c>
      <c r="AO39">
        <v>0</v>
      </c>
      <c r="AP39">
        <v>0</v>
      </c>
      <c r="AQ39">
        <v>0</v>
      </c>
      <c r="AR39">
        <v>7.0000000000000007E-2</v>
      </c>
      <c r="AS39">
        <v>822791</v>
      </c>
      <c r="AT39">
        <v>0</v>
      </c>
      <c r="AU39">
        <v>0</v>
      </c>
      <c r="AV39">
        <v>0</v>
      </c>
      <c r="AW39">
        <v>0</v>
      </c>
      <c r="BA39">
        <v>1917</v>
      </c>
      <c r="BB39" t="s">
        <v>230</v>
      </c>
      <c r="BC39">
        <v>443.4</v>
      </c>
      <c r="BD39">
        <v>432.7</v>
      </c>
    </row>
    <row r="40" spans="1:56" x14ac:dyDescent="0.25">
      <c r="A40">
        <v>747</v>
      </c>
      <c r="B40" t="s">
        <v>229</v>
      </c>
      <c r="C40">
        <v>10.71148</v>
      </c>
      <c r="D40">
        <v>0.96953999999999996</v>
      </c>
      <c r="E40">
        <v>0.33</v>
      </c>
      <c r="F40">
        <v>1.34</v>
      </c>
      <c r="G40">
        <v>0</v>
      </c>
      <c r="H40">
        <v>0</v>
      </c>
      <c r="I40">
        <v>1.0504500000000001</v>
      </c>
      <c r="J40">
        <v>11.66633</v>
      </c>
      <c r="K40">
        <v>0.96836999999999995</v>
      </c>
      <c r="L40">
        <v>0.33</v>
      </c>
      <c r="M40">
        <v>0.49217</v>
      </c>
      <c r="N40">
        <v>0</v>
      </c>
      <c r="O40">
        <v>0</v>
      </c>
      <c r="P40">
        <v>1.0395300000000001</v>
      </c>
      <c r="Q40">
        <v>12.483140000000001</v>
      </c>
      <c r="R40">
        <v>0.61990000000000001</v>
      </c>
      <c r="S40">
        <v>0.33</v>
      </c>
      <c r="T40">
        <v>0.34400999999999998</v>
      </c>
      <c r="U40">
        <v>0</v>
      </c>
      <c r="V40">
        <v>0</v>
      </c>
      <c r="W40">
        <v>0.86528000000000005</v>
      </c>
      <c r="X40">
        <v>12.388680000000001</v>
      </c>
      <c r="Y40">
        <v>0.65447999999999995</v>
      </c>
      <c r="Z40">
        <v>0.33</v>
      </c>
      <c r="AA40">
        <v>0.33166000000000001</v>
      </c>
      <c r="AB40">
        <v>0</v>
      </c>
      <c r="AC40">
        <v>0</v>
      </c>
      <c r="AD40">
        <v>0.98958000000000002</v>
      </c>
      <c r="AF40">
        <v>7.0000000000000007E-2</v>
      </c>
      <c r="AG40">
        <v>260257</v>
      </c>
      <c r="AH40">
        <v>0</v>
      </c>
      <c r="AI40">
        <v>0</v>
      </c>
      <c r="AJ40">
        <v>0.01</v>
      </c>
      <c r="AK40">
        <v>37180</v>
      </c>
      <c r="AL40">
        <v>7.0000000000000007E-2</v>
      </c>
      <c r="AM40">
        <v>226803</v>
      </c>
      <c r="AN40">
        <v>0</v>
      </c>
      <c r="AO40">
        <v>0</v>
      </c>
      <c r="AP40">
        <v>0.02</v>
      </c>
      <c r="AQ40">
        <v>64801</v>
      </c>
      <c r="AR40">
        <v>7.0000000000000007E-2</v>
      </c>
      <c r="AS40">
        <v>225819</v>
      </c>
      <c r="AT40">
        <v>0</v>
      </c>
      <c r="AU40">
        <v>0</v>
      </c>
      <c r="AV40">
        <v>0.02</v>
      </c>
      <c r="AW40">
        <v>64520</v>
      </c>
      <c r="BA40">
        <v>846</v>
      </c>
      <c r="BB40" t="s">
        <v>231</v>
      </c>
      <c r="BC40">
        <v>517.4</v>
      </c>
      <c r="BD40">
        <v>533.20000000000005</v>
      </c>
    </row>
    <row r="41" spans="1:56" x14ac:dyDescent="0.25">
      <c r="A41">
        <v>819</v>
      </c>
      <c r="B41" t="s">
        <v>517</v>
      </c>
      <c r="C41">
        <v>7.9057500000000003</v>
      </c>
      <c r="D41">
        <v>0.18640000000000001</v>
      </c>
      <c r="E41">
        <v>0.33</v>
      </c>
      <c r="F41">
        <v>0</v>
      </c>
      <c r="G41">
        <v>0.13500000000000001</v>
      </c>
      <c r="H41">
        <v>0</v>
      </c>
      <c r="I41">
        <v>2.3187600000000002</v>
      </c>
      <c r="J41">
        <v>9.0564400000000003</v>
      </c>
      <c r="K41">
        <v>9.5030000000000003E-2</v>
      </c>
      <c r="L41">
        <v>0.33</v>
      </c>
      <c r="M41">
        <v>0</v>
      </c>
      <c r="N41">
        <v>0.13500000000000001</v>
      </c>
      <c r="O41">
        <v>0</v>
      </c>
      <c r="P41">
        <v>1.79722</v>
      </c>
      <c r="Q41">
        <v>8.8712199999999992</v>
      </c>
      <c r="R41">
        <v>0.60172999999999999</v>
      </c>
      <c r="S41">
        <v>0.33</v>
      </c>
      <c r="T41">
        <v>0</v>
      </c>
      <c r="U41">
        <v>0.13500000000000001</v>
      </c>
      <c r="V41">
        <v>0</v>
      </c>
      <c r="W41">
        <v>1.8925799999999999</v>
      </c>
      <c r="X41">
        <v>8.8091600000000003</v>
      </c>
      <c r="Y41">
        <v>0.62748999999999999</v>
      </c>
      <c r="Z41">
        <v>0.33</v>
      </c>
      <c r="AA41">
        <v>0</v>
      </c>
      <c r="AB41">
        <v>0.13500000000000001</v>
      </c>
      <c r="AC41">
        <v>0</v>
      </c>
      <c r="AD41">
        <v>1.95963</v>
      </c>
      <c r="AF41">
        <v>0.09</v>
      </c>
      <c r="AG41">
        <v>291892</v>
      </c>
      <c r="AH41">
        <v>0</v>
      </c>
      <c r="AI41">
        <v>0</v>
      </c>
      <c r="AJ41">
        <v>0</v>
      </c>
      <c r="AK41">
        <v>0</v>
      </c>
      <c r="AL41">
        <v>0.11</v>
      </c>
      <c r="AM41">
        <v>280770</v>
      </c>
      <c r="AN41">
        <v>0</v>
      </c>
      <c r="AO41">
        <v>0</v>
      </c>
      <c r="AP41">
        <v>0</v>
      </c>
      <c r="AQ41">
        <v>0</v>
      </c>
      <c r="AR41">
        <v>0.11</v>
      </c>
      <c r="AS41">
        <v>299530</v>
      </c>
      <c r="AT41">
        <v>0</v>
      </c>
      <c r="AU41">
        <v>0</v>
      </c>
      <c r="AV41">
        <v>0</v>
      </c>
      <c r="AW41">
        <v>0</v>
      </c>
      <c r="BA41">
        <v>882</v>
      </c>
      <c r="BB41" t="s">
        <v>232</v>
      </c>
      <c r="BC41">
        <v>4655.8999999999996</v>
      </c>
      <c r="BD41">
        <v>4636.5</v>
      </c>
    </row>
    <row r="42" spans="1:56" x14ac:dyDescent="0.25">
      <c r="A42">
        <v>846</v>
      </c>
      <c r="B42" t="s">
        <v>231</v>
      </c>
      <c r="C42">
        <v>9.0990199999999994</v>
      </c>
      <c r="D42">
        <v>1.5971500000000001</v>
      </c>
      <c r="E42">
        <v>0.33</v>
      </c>
      <c r="F42">
        <v>0.82613999999999999</v>
      </c>
      <c r="G42">
        <v>0</v>
      </c>
      <c r="H42">
        <v>0</v>
      </c>
      <c r="I42">
        <v>1.68919</v>
      </c>
      <c r="J42">
        <v>9.4724400000000006</v>
      </c>
      <c r="K42">
        <v>1.2010099999999999</v>
      </c>
      <c r="L42">
        <v>0.33</v>
      </c>
      <c r="M42">
        <v>0.94333999999999996</v>
      </c>
      <c r="N42">
        <v>0</v>
      </c>
      <c r="O42">
        <v>0</v>
      </c>
      <c r="P42">
        <v>1.5070300000000001</v>
      </c>
      <c r="Q42">
        <v>10.022790000000001</v>
      </c>
      <c r="R42">
        <v>1.0337700000000001</v>
      </c>
      <c r="S42">
        <v>0.33</v>
      </c>
      <c r="T42">
        <v>0.85038000000000002</v>
      </c>
      <c r="U42">
        <v>0</v>
      </c>
      <c r="V42">
        <v>0</v>
      </c>
      <c r="W42">
        <v>1.6007800000000001</v>
      </c>
      <c r="X42">
        <v>9.5600400000000008</v>
      </c>
      <c r="Y42">
        <v>1.1991799999999999</v>
      </c>
      <c r="Z42">
        <v>0.32989000000000002</v>
      </c>
      <c r="AA42">
        <v>0.73795999999999995</v>
      </c>
      <c r="AB42">
        <v>0</v>
      </c>
      <c r="AC42">
        <v>0</v>
      </c>
      <c r="AD42">
        <v>1.7265299999999999</v>
      </c>
      <c r="AF42">
        <v>0.03</v>
      </c>
      <c r="AG42">
        <v>88256</v>
      </c>
      <c r="AH42">
        <v>0</v>
      </c>
      <c r="AI42">
        <v>0</v>
      </c>
      <c r="AJ42">
        <v>0.03</v>
      </c>
      <c r="AK42">
        <v>88256</v>
      </c>
      <c r="AL42">
        <v>0.04</v>
      </c>
      <c r="AM42">
        <v>104155</v>
      </c>
      <c r="AN42">
        <v>0</v>
      </c>
      <c r="AO42">
        <v>0</v>
      </c>
      <c r="AP42">
        <v>0.04</v>
      </c>
      <c r="AQ42">
        <v>104155</v>
      </c>
      <c r="AR42">
        <v>0.04</v>
      </c>
      <c r="AS42">
        <v>119322</v>
      </c>
      <c r="AT42">
        <v>0</v>
      </c>
      <c r="AU42">
        <v>0</v>
      </c>
      <c r="AV42">
        <v>0.04</v>
      </c>
      <c r="AW42">
        <v>119322</v>
      </c>
      <c r="BA42">
        <v>916</v>
      </c>
      <c r="BB42" t="s">
        <v>233</v>
      </c>
      <c r="BC42">
        <v>275.39999999999998</v>
      </c>
      <c r="BD42">
        <v>264.39999999999998</v>
      </c>
    </row>
    <row r="43" spans="1:56" x14ac:dyDescent="0.25">
      <c r="A43">
        <v>873</v>
      </c>
      <c r="B43" t="s">
        <v>406</v>
      </c>
      <c r="C43">
        <v>7.4679399999999996</v>
      </c>
      <c r="D43">
        <v>0.62158000000000002</v>
      </c>
      <c r="E43">
        <v>0.33</v>
      </c>
      <c r="F43">
        <v>0</v>
      </c>
      <c r="G43">
        <v>0.13500000000000001</v>
      </c>
      <c r="H43">
        <v>0</v>
      </c>
      <c r="I43">
        <v>1.1897500000000001</v>
      </c>
      <c r="J43">
        <v>8.0689100000000007</v>
      </c>
      <c r="K43">
        <v>0.26941999999999999</v>
      </c>
      <c r="L43">
        <v>0.33</v>
      </c>
      <c r="M43">
        <v>0</v>
      </c>
      <c r="N43">
        <v>0.13500000000000001</v>
      </c>
      <c r="O43">
        <v>0</v>
      </c>
      <c r="P43">
        <v>1.2616499999999999</v>
      </c>
      <c r="Q43">
        <v>9.0166400000000007</v>
      </c>
      <c r="R43">
        <v>0.56242000000000003</v>
      </c>
      <c r="S43">
        <v>0.33</v>
      </c>
      <c r="T43">
        <v>0</v>
      </c>
      <c r="U43">
        <v>0.13500000000000001</v>
      </c>
      <c r="V43">
        <v>0</v>
      </c>
      <c r="W43">
        <v>1.3686100000000001</v>
      </c>
      <c r="X43">
        <v>10.169320000000001</v>
      </c>
      <c r="Y43">
        <v>0.38893</v>
      </c>
      <c r="Z43">
        <v>0.33</v>
      </c>
      <c r="AA43">
        <v>0</v>
      </c>
      <c r="AB43">
        <v>0.13500000000000001</v>
      </c>
      <c r="AC43">
        <v>0</v>
      </c>
      <c r="AD43">
        <v>1.4864999999999999</v>
      </c>
      <c r="AF43">
        <v>0.08</v>
      </c>
      <c r="AG43">
        <v>249694</v>
      </c>
      <c r="AH43">
        <v>0</v>
      </c>
      <c r="AI43">
        <v>0</v>
      </c>
      <c r="AJ43">
        <v>0</v>
      </c>
      <c r="AK43">
        <v>0</v>
      </c>
      <c r="AL43">
        <v>0.09</v>
      </c>
      <c r="AM43">
        <v>221607</v>
      </c>
      <c r="AN43">
        <v>0</v>
      </c>
      <c r="AO43">
        <v>0</v>
      </c>
      <c r="AP43">
        <v>0</v>
      </c>
      <c r="AQ43">
        <v>0</v>
      </c>
      <c r="AR43">
        <v>0.09</v>
      </c>
      <c r="AS43">
        <v>229930</v>
      </c>
      <c r="AT43">
        <v>0</v>
      </c>
      <c r="AU43">
        <v>0</v>
      </c>
      <c r="AV43">
        <v>0</v>
      </c>
      <c r="AW43">
        <v>0</v>
      </c>
      <c r="BA43">
        <v>918</v>
      </c>
      <c r="BB43" t="s">
        <v>600</v>
      </c>
      <c r="BC43">
        <v>467.4</v>
      </c>
      <c r="BD43">
        <v>450</v>
      </c>
    </row>
    <row r="44" spans="1:56" x14ac:dyDescent="0.25">
      <c r="A44">
        <v>882</v>
      </c>
      <c r="B44" t="s">
        <v>232</v>
      </c>
      <c r="C44">
        <v>13.2469</v>
      </c>
      <c r="D44">
        <v>1.1852799999999999</v>
      </c>
      <c r="E44">
        <v>0.33</v>
      </c>
      <c r="F44">
        <v>0.67</v>
      </c>
      <c r="G44">
        <v>0</v>
      </c>
      <c r="H44">
        <v>0</v>
      </c>
      <c r="I44">
        <v>0</v>
      </c>
      <c r="J44">
        <v>13.03439</v>
      </c>
      <c r="K44">
        <v>1.0453300000000001</v>
      </c>
      <c r="L44">
        <v>0.33</v>
      </c>
      <c r="M44">
        <v>0.67</v>
      </c>
      <c r="N44">
        <v>0</v>
      </c>
      <c r="O44">
        <v>0</v>
      </c>
      <c r="P44">
        <v>0</v>
      </c>
      <c r="Q44">
        <v>13.9497</v>
      </c>
      <c r="R44">
        <v>1.296</v>
      </c>
      <c r="S44">
        <v>0.33</v>
      </c>
      <c r="T44">
        <v>0.67</v>
      </c>
      <c r="U44">
        <v>0</v>
      </c>
      <c r="V44">
        <v>0</v>
      </c>
      <c r="W44">
        <v>0</v>
      </c>
      <c r="X44">
        <v>14.18943</v>
      </c>
      <c r="Y44">
        <v>1.78365</v>
      </c>
      <c r="Z44">
        <v>0.33</v>
      </c>
      <c r="AA44">
        <v>0.67</v>
      </c>
      <c r="AB44">
        <v>0</v>
      </c>
      <c r="AC44">
        <v>0</v>
      </c>
      <c r="AD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BA44">
        <v>914</v>
      </c>
      <c r="BB44" t="s">
        <v>235</v>
      </c>
      <c r="BC44">
        <v>441.1</v>
      </c>
      <c r="BD44">
        <v>444.9</v>
      </c>
    </row>
    <row r="45" spans="1:56" x14ac:dyDescent="0.25">
      <c r="A45">
        <v>914</v>
      </c>
      <c r="B45" t="s">
        <v>235</v>
      </c>
      <c r="C45">
        <v>7.4625899999999996</v>
      </c>
      <c r="D45">
        <v>0.81608000000000003</v>
      </c>
      <c r="E45">
        <v>0.33</v>
      </c>
      <c r="F45">
        <v>0.67</v>
      </c>
      <c r="G45">
        <v>0</v>
      </c>
      <c r="H45">
        <v>0</v>
      </c>
      <c r="I45">
        <v>0</v>
      </c>
      <c r="J45">
        <v>7.5896400000000002</v>
      </c>
      <c r="K45">
        <v>0.58747000000000005</v>
      </c>
      <c r="L45">
        <v>0.33</v>
      </c>
      <c r="M45">
        <v>0.67</v>
      </c>
      <c r="N45">
        <v>0</v>
      </c>
      <c r="O45">
        <v>0</v>
      </c>
      <c r="P45">
        <v>0</v>
      </c>
      <c r="Q45">
        <v>10.10078</v>
      </c>
      <c r="R45">
        <v>0.35538999999999998</v>
      </c>
      <c r="S45">
        <v>0.33</v>
      </c>
      <c r="T45">
        <v>0.45077</v>
      </c>
      <c r="U45">
        <v>0</v>
      </c>
      <c r="V45">
        <v>0</v>
      </c>
      <c r="W45">
        <v>0</v>
      </c>
      <c r="X45">
        <v>11.03623</v>
      </c>
      <c r="Y45">
        <v>0.38664999999999999</v>
      </c>
      <c r="Z45">
        <v>0.33</v>
      </c>
      <c r="AA45">
        <v>0.67</v>
      </c>
      <c r="AB45">
        <v>0</v>
      </c>
      <c r="AC45">
        <v>0</v>
      </c>
      <c r="AD45">
        <v>0.24526999999999999</v>
      </c>
      <c r="AF45">
        <v>0.1</v>
      </c>
      <c r="AG45">
        <v>214043</v>
      </c>
      <c r="AH45">
        <v>0</v>
      </c>
      <c r="AI45">
        <v>0</v>
      </c>
      <c r="AJ45">
        <v>0</v>
      </c>
      <c r="AK45">
        <v>0</v>
      </c>
      <c r="AL45">
        <v>0.1</v>
      </c>
      <c r="AM45">
        <v>197073</v>
      </c>
      <c r="AN45">
        <v>0</v>
      </c>
      <c r="AO45">
        <v>0</v>
      </c>
      <c r="AP45">
        <v>0</v>
      </c>
      <c r="AQ45">
        <v>0</v>
      </c>
      <c r="AR45">
        <v>0.1</v>
      </c>
      <c r="AS45">
        <v>194494</v>
      </c>
      <c r="AT45">
        <v>0</v>
      </c>
      <c r="AU45">
        <v>0</v>
      </c>
      <c r="AV45">
        <v>0</v>
      </c>
      <c r="AW45">
        <v>0</v>
      </c>
      <c r="BA45">
        <v>936</v>
      </c>
      <c r="BB45" t="s">
        <v>236</v>
      </c>
      <c r="BC45">
        <v>894</v>
      </c>
      <c r="BD45">
        <v>891</v>
      </c>
    </row>
    <row r="46" spans="1:56" x14ac:dyDescent="0.25">
      <c r="A46">
        <v>916</v>
      </c>
      <c r="B46" t="s">
        <v>233</v>
      </c>
      <c r="C46">
        <v>10.53035</v>
      </c>
      <c r="D46">
        <v>0.81530000000000002</v>
      </c>
      <c r="E46">
        <v>0.16091</v>
      </c>
      <c r="F46">
        <v>0.41691</v>
      </c>
      <c r="G46">
        <v>0</v>
      </c>
      <c r="H46">
        <v>0</v>
      </c>
      <c r="I46">
        <v>0</v>
      </c>
      <c r="J46">
        <v>10.181520000000001</v>
      </c>
      <c r="K46">
        <v>0.90676999999999996</v>
      </c>
      <c r="L46">
        <v>0.20574000000000001</v>
      </c>
      <c r="M46">
        <v>0.67842999999999998</v>
      </c>
      <c r="N46">
        <v>0</v>
      </c>
      <c r="O46">
        <v>0</v>
      </c>
      <c r="P46">
        <v>0</v>
      </c>
      <c r="Q46">
        <v>9.7097599999999993</v>
      </c>
      <c r="R46">
        <v>1.22261</v>
      </c>
      <c r="S46">
        <v>0.33</v>
      </c>
      <c r="T46">
        <v>0.70665</v>
      </c>
      <c r="U46">
        <v>0</v>
      </c>
      <c r="V46">
        <v>0</v>
      </c>
      <c r="W46">
        <v>0</v>
      </c>
      <c r="X46">
        <v>10.113440000000001</v>
      </c>
      <c r="Y46">
        <v>1.15361</v>
      </c>
      <c r="Z46">
        <v>0.33</v>
      </c>
      <c r="AA46">
        <v>0.71296999999999999</v>
      </c>
      <c r="AB46">
        <v>0</v>
      </c>
      <c r="AC46">
        <v>0</v>
      </c>
      <c r="AD46">
        <v>0</v>
      </c>
      <c r="AF46">
        <v>0.08</v>
      </c>
      <c r="AG46">
        <v>90301</v>
      </c>
      <c r="AH46">
        <v>0</v>
      </c>
      <c r="AI46">
        <v>0</v>
      </c>
      <c r="AJ46">
        <v>0.04</v>
      </c>
      <c r="AK46">
        <v>45150</v>
      </c>
      <c r="AL46">
        <v>0.08</v>
      </c>
      <c r="AM46">
        <v>80177</v>
      </c>
      <c r="AN46">
        <v>0</v>
      </c>
      <c r="AO46">
        <v>0</v>
      </c>
      <c r="AP46">
        <v>0.04</v>
      </c>
      <c r="AQ46">
        <v>40088</v>
      </c>
      <c r="AR46">
        <v>0.08</v>
      </c>
      <c r="AS46">
        <v>79022</v>
      </c>
      <c r="AT46">
        <v>0</v>
      </c>
      <c r="AU46">
        <v>0</v>
      </c>
      <c r="AV46">
        <v>0.04</v>
      </c>
      <c r="AW46">
        <v>39511</v>
      </c>
      <c r="BA46">
        <v>977</v>
      </c>
      <c r="BB46" t="s">
        <v>237</v>
      </c>
      <c r="BC46">
        <v>590.4</v>
      </c>
      <c r="BD46">
        <v>601</v>
      </c>
    </row>
    <row r="47" spans="1:56" x14ac:dyDescent="0.25">
      <c r="A47">
        <v>918</v>
      </c>
      <c r="B47" t="s">
        <v>600</v>
      </c>
      <c r="C47">
        <v>9.1009100000000007</v>
      </c>
      <c r="D47">
        <v>1.5936399999999999</v>
      </c>
      <c r="E47">
        <v>0.33</v>
      </c>
      <c r="F47">
        <v>0.67</v>
      </c>
      <c r="G47">
        <v>0</v>
      </c>
      <c r="H47">
        <v>0</v>
      </c>
      <c r="I47">
        <v>0</v>
      </c>
      <c r="J47">
        <v>9.1056100000000004</v>
      </c>
      <c r="K47">
        <v>0.73682000000000003</v>
      </c>
      <c r="L47">
        <v>0</v>
      </c>
      <c r="M47">
        <v>0.67</v>
      </c>
      <c r="N47">
        <v>0</v>
      </c>
      <c r="O47">
        <v>0</v>
      </c>
      <c r="P47">
        <v>2.2078000000000002</v>
      </c>
      <c r="Q47">
        <v>10.28111</v>
      </c>
      <c r="R47">
        <v>0.76561999999999997</v>
      </c>
      <c r="S47">
        <v>0</v>
      </c>
      <c r="T47">
        <v>0.67</v>
      </c>
      <c r="U47">
        <v>0</v>
      </c>
      <c r="V47">
        <v>0</v>
      </c>
      <c r="W47">
        <v>2.31955</v>
      </c>
      <c r="X47">
        <v>11.3674</v>
      </c>
      <c r="Y47">
        <v>0.74373</v>
      </c>
      <c r="Z47">
        <v>0</v>
      </c>
      <c r="AA47">
        <v>0.67</v>
      </c>
      <c r="AB47">
        <v>0</v>
      </c>
      <c r="AC47">
        <v>0</v>
      </c>
      <c r="AD47">
        <v>1.6511400000000001</v>
      </c>
      <c r="AF47">
        <v>7.0000000000000007E-2</v>
      </c>
      <c r="AG47">
        <v>148184</v>
      </c>
      <c r="AH47">
        <v>0</v>
      </c>
      <c r="AI47">
        <v>0</v>
      </c>
      <c r="AJ47">
        <v>0</v>
      </c>
      <c r="AK47">
        <v>0</v>
      </c>
      <c r="AL47">
        <v>7.0000000000000007E-2</v>
      </c>
      <c r="AM47">
        <v>136301</v>
      </c>
      <c r="AN47">
        <v>0</v>
      </c>
      <c r="AO47">
        <v>0</v>
      </c>
      <c r="AP47">
        <v>0</v>
      </c>
      <c r="AQ47">
        <v>0</v>
      </c>
      <c r="AR47">
        <v>7.0000000000000007E-2</v>
      </c>
      <c r="AS47">
        <v>134188</v>
      </c>
      <c r="AT47">
        <v>0</v>
      </c>
      <c r="AU47">
        <v>0</v>
      </c>
      <c r="AV47">
        <v>0</v>
      </c>
      <c r="AW47">
        <v>0</v>
      </c>
      <c r="BA47">
        <v>981</v>
      </c>
      <c r="BB47" t="s">
        <v>238</v>
      </c>
      <c r="BC47">
        <v>1787.3</v>
      </c>
      <c r="BD47">
        <v>1845</v>
      </c>
    </row>
    <row r="48" spans="1:56" x14ac:dyDescent="0.25">
      <c r="A48">
        <v>936</v>
      </c>
      <c r="B48" t="s">
        <v>236</v>
      </c>
      <c r="C48">
        <v>12.13303</v>
      </c>
      <c r="D48">
        <v>0.86960000000000004</v>
      </c>
      <c r="E48">
        <v>0.33</v>
      </c>
      <c r="F48">
        <v>0</v>
      </c>
      <c r="G48">
        <v>0</v>
      </c>
      <c r="H48">
        <v>0</v>
      </c>
      <c r="I48">
        <v>1.7800800000000001</v>
      </c>
      <c r="J48">
        <v>12.69548</v>
      </c>
      <c r="K48">
        <v>0.87473000000000001</v>
      </c>
      <c r="L48">
        <v>0.33</v>
      </c>
      <c r="M48">
        <v>0</v>
      </c>
      <c r="N48">
        <v>0</v>
      </c>
      <c r="O48">
        <v>0</v>
      </c>
      <c r="P48">
        <v>1.7909299999999999</v>
      </c>
      <c r="Q48">
        <v>12.57765</v>
      </c>
      <c r="R48">
        <v>0.91559999999999997</v>
      </c>
      <c r="S48">
        <v>0.33</v>
      </c>
      <c r="T48">
        <v>0</v>
      </c>
      <c r="U48">
        <v>0</v>
      </c>
      <c r="V48">
        <v>0</v>
      </c>
      <c r="W48">
        <v>1.9113</v>
      </c>
      <c r="X48">
        <v>12.4221</v>
      </c>
      <c r="Y48">
        <v>0.92222000000000004</v>
      </c>
      <c r="Z48">
        <v>0.33</v>
      </c>
      <c r="AA48">
        <v>0</v>
      </c>
      <c r="AB48">
        <v>0</v>
      </c>
      <c r="AC48">
        <v>0</v>
      </c>
      <c r="AD48">
        <v>1.90123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BA48">
        <v>999</v>
      </c>
      <c r="BB48" t="s">
        <v>239</v>
      </c>
      <c r="BC48">
        <v>1690.5</v>
      </c>
      <c r="BD48">
        <v>1675.4</v>
      </c>
    </row>
    <row r="49" spans="1:56" x14ac:dyDescent="0.25">
      <c r="A49">
        <v>977</v>
      </c>
      <c r="B49" t="s">
        <v>237</v>
      </c>
      <c r="C49">
        <v>12.09061</v>
      </c>
      <c r="D49">
        <v>1.85144</v>
      </c>
      <c r="E49">
        <v>0.33</v>
      </c>
      <c r="F49">
        <v>1.34</v>
      </c>
      <c r="G49">
        <v>0</v>
      </c>
      <c r="H49">
        <v>0</v>
      </c>
      <c r="I49">
        <v>0</v>
      </c>
      <c r="J49">
        <v>12.30683</v>
      </c>
      <c r="K49">
        <v>1.8541799999999999</v>
      </c>
      <c r="L49">
        <v>0.33</v>
      </c>
      <c r="M49">
        <v>1.34</v>
      </c>
      <c r="N49">
        <v>0</v>
      </c>
      <c r="O49">
        <v>0</v>
      </c>
      <c r="P49">
        <v>0</v>
      </c>
      <c r="Q49">
        <v>12.760619999999999</v>
      </c>
      <c r="R49">
        <v>2.5076999999999998</v>
      </c>
      <c r="S49">
        <v>0.33</v>
      </c>
      <c r="T49">
        <v>1.34</v>
      </c>
      <c r="U49">
        <v>0</v>
      </c>
      <c r="V49">
        <v>0</v>
      </c>
      <c r="W49">
        <v>0</v>
      </c>
      <c r="X49">
        <v>14.498250000000001</v>
      </c>
      <c r="Y49">
        <v>1.1936</v>
      </c>
      <c r="Z49">
        <v>0.33</v>
      </c>
      <c r="AA49">
        <v>1.34</v>
      </c>
      <c r="AB49">
        <v>0</v>
      </c>
      <c r="AC49">
        <v>0</v>
      </c>
      <c r="AD49">
        <v>0</v>
      </c>
      <c r="AF49">
        <v>0.05</v>
      </c>
      <c r="AG49">
        <v>100836</v>
      </c>
      <c r="AH49">
        <v>0</v>
      </c>
      <c r="AI49">
        <v>0</v>
      </c>
      <c r="AJ49">
        <v>0</v>
      </c>
      <c r="AK49">
        <v>0</v>
      </c>
      <c r="AL49">
        <v>0.1</v>
      </c>
      <c r="AM49">
        <v>199902</v>
      </c>
      <c r="AN49">
        <v>0</v>
      </c>
      <c r="AO49">
        <v>0</v>
      </c>
      <c r="AP49">
        <v>0</v>
      </c>
      <c r="AQ49">
        <v>0</v>
      </c>
      <c r="AR49">
        <v>0.11</v>
      </c>
      <c r="AS49">
        <v>223137</v>
      </c>
      <c r="AT49">
        <v>0</v>
      </c>
      <c r="AU49">
        <v>0</v>
      </c>
      <c r="AV49">
        <v>0</v>
      </c>
      <c r="AW49">
        <v>0</v>
      </c>
      <c r="BA49">
        <v>1044</v>
      </c>
      <c r="BB49" t="s">
        <v>240</v>
      </c>
      <c r="BC49">
        <v>4862.3999999999996</v>
      </c>
      <c r="BD49">
        <v>4859.1000000000004</v>
      </c>
    </row>
    <row r="50" spans="1:56" x14ac:dyDescent="0.25">
      <c r="A50">
        <v>981</v>
      </c>
      <c r="B50" t="s">
        <v>238</v>
      </c>
      <c r="C50">
        <v>10.55861</v>
      </c>
      <c r="D50">
        <v>1.6384300000000001</v>
      </c>
      <c r="E50">
        <v>0.33</v>
      </c>
      <c r="F50">
        <v>1.34</v>
      </c>
      <c r="G50">
        <v>0</v>
      </c>
      <c r="H50">
        <v>0</v>
      </c>
      <c r="I50">
        <v>4.0451100000000002</v>
      </c>
      <c r="J50">
        <v>10.48847</v>
      </c>
      <c r="K50">
        <v>1.71282</v>
      </c>
      <c r="L50">
        <v>0.33</v>
      </c>
      <c r="M50">
        <v>1.34</v>
      </c>
      <c r="N50">
        <v>0</v>
      </c>
      <c r="O50">
        <v>0</v>
      </c>
      <c r="P50">
        <v>4.0411700000000002</v>
      </c>
      <c r="Q50">
        <v>11.447609999999999</v>
      </c>
      <c r="R50">
        <v>1.41005</v>
      </c>
      <c r="S50">
        <v>0.33</v>
      </c>
      <c r="T50">
        <v>1.34</v>
      </c>
      <c r="U50">
        <v>0</v>
      </c>
      <c r="V50">
        <v>0</v>
      </c>
      <c r="W50">
        <v>4.05</v>
      </c>
      <c r="X50">
        <v>15.06222</v>
      </c>
      <c r="Y50">
        <v>1.2499899999999999</v>
      </c>
      <c r="Z50">
        <v>0.33</v>
      </c>
      <c r="AA50">
        <v>1.33999</v>
      </c>
      <c r="AB50">
        <v>0</v>
      </c>
      <c r="AC50">
        <v>0</v>
      </c>
      <c r="AD50">
        <v>2.66839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BA50">
        <v>1053</v>
      </c>
      <c r="BB50" t="s">
        <v>241</v>
      </c>
      <c r="BC50">
        <v>16651.099999999999</v>
      </c>
      <c r="BD50">
        <v>16864.7</v>
      </c>
    </row>
    <row r="51" spans="1:56" x14ac:dyDescent="0.25">
      <c r="A51">
        <v>999</v>
      </c>
      <c r="B51" t="s">
        <v>239</v>
      </c>
      <c r="C51">
        <v>7.8910499999999999</v>
      </c>
      <c r="D51">
        <v>0.68742999999999999</v>
      </c>
      <c r="E51">
        <v>0.33</v>
      </c>
      <c r="F51">
        <v>0</v>
      </c>
      <c r="G51">
        <v>0</v>
      </c>
      <c r="H51">
        <v>0</v>
      </c>
      <c r="I51">
        <v>0.24027000000000001</v>
      </c>
      <c r="J51">
        <v>8.3472100000000005</v>
      </c>
      <c r="K51">
        <v>0.71469000000000005</v>
      </c>
      <c r="L51">
        <v>0.33</v>
      </c>
      <c r="M51">
        <v>0</v>
      </c>
      <c r="N51">
        <v>0</v>
      </c>
      <c r="O51">
        <v>0</v>
      </c>
      <c r="P51">
        <v>0.28826000000000002</v>
      </c>
      <c r="Q51">
        <v>9.3604400000000005</v>
      </c>
      <c r="R51">
        <v>0.68313999999999997</v>
      </c>
      <c r="S51">
        <v>0.33</v>
      </c>
      <c r="T51">
        <v>0</v>
      </c>
      <c r="U51">
        <v>0</v>
      </c>
      <c r="V51">
        <v>0</v>
      </c>
      <c r="W51">
        <v>0.30213000000000001</v>
      </c>
      <c r="X51">
        <v>10.069330000000001</v>
      </c>
      <c r="Y51">
        <v>0.83326</v>
      </c>
      <c r="Z51">
        <v>0.33</v>
      </c>
      <c r="AA51">
        <v>0</v>
      </c>
      <c r="AB51">
        <v>0</v>
      </c>
      <c r="AC51">
        <v>0</v>
      </c>
      <c r="AD51">
        <v>0.33150000000000002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BA51">
        <v>1062</v>
      </c>
      <c r="BB51" t="s">
        <v>242</v>
      </c>
      <c r="BC51">
        <v>1317.6</v>
      </c>
      <c r="BD51">
        <v>1318.4</v>
      </c>
    </row>
    <row r="52" spans="1:56" x14ac:dyDescent="0.25">
      <c r="A52">
        <v>1044</v>
      </c>
      <c r="B52" t="s">
        <v>240</v>
      </c>
      <c r="C52">
        <v>10.80583</v>
      </c>
      <c r="D52">
        <v>0.30864000000000003</v>
      </c>
      <c r="E52">
        <v>0.33</v>
      </c>
      <c r="F52">
        <v>1.34</v>
      </c>
      <c r="G52">
        <v>0</v>
      </c>
      <c r="H52">
        <v>0</v>
      </c>
      <c r="I52">
        <v>0</v>
      </c>
      <c r="J52">
        <v>10.900460000000001</v>
      </c>
      <c r="K52">
        <v>0.25485000000000002</v>
      </c>
      <c r="L52">
        <v>0.33</v>
      </c>
      <c r="M52">
        <v>1.34</v>
      </c>
      <c r="N52">
        <v>0</v>
      </c>
      <c r="O52">
        <v>0</v>
      </c>
      <c r="P52">
        <v>0</v>
      </c>
      <c r="Q52">
        <v>11.3508</v>
      </c>
      <c r="R52">
        <v>0.35721999999999998</v>
      </c>
      <c r="S52">
        <v>0.33</v>
      </c>
      <c r="T52">
        <v>1.34</v>
      </c>
      <c r="U52">
        <v>0</v>
      </c>
      <c r="V52">
        <v>0</v>
      </c>
      <c r="W52">
        <v>0</v>
      </c>
      <c r="X52">
        <v>11.65049</v>
      </c>
      <c r="Y52">
        <v>0.46601999999999999</v>
      </c>
      <c r="Z52">
        <v>0.33</v>
      </c>
      <c r="AA52">
        <v>1.34</v>
      </c>
      <c r="AB52">
        <v>0</v>
      </c>
      <c r="AC52">
        <v>0</v>
      </c>
      <c r="AD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BA52">
        <v>1071</v>
      </c>
      <c r="BB52" t="s">
        <v>243</v>
      </c>
      <c r="BC52">
        <v>1382.9</v>
      </c>
      <c r="BD52">
        <v>1370</v>
      </c>
    </row>
    <row r="53" spans="1:56" x14ac:dyDescent="0.25">
      <c r="A53">
        <v>1053</v>
      </c>
      <c r="B53" t="s">
        <v>241</v>
      </c>
      <c r="C53">
        <v>12.881970000000001</v>
      </c>
      <c r="D53">
        <v>1.67449</v>
      </c>
      <c r="E53">
        <v>0.25800000000000001</v>
      </c>
      <c r="F53">
        <v>0.67</v>
      </c>
      <c r="G53">
        <v>0</v>
      </c>
      <c r="H53">
        <v>0</v>
      </c>
      <c r="I53">
        <v>0</v>
      </c>
      <c r="J53">
        <v>13.01918</v>
      </c>
      <c r="K53">
        <v>1.5339499999999999</v>
      </c>
      <c r="L53">
        <v>0.25568000000000002</v>
      </c>
      <c r="M53">
        <v>0.67</v>
      </c>
      <c r="N53">
        <v>0</v>
      </c>
      <c r="O53">
        <v>0</v>
      </c>
      <c r="P53">
        <v>0</v>
      </c>
      <c r="Q53">
        <v>12.04932</v>
      </c>
      <c r="R53">
        <v>2.1896100000000001</v>
      </c>
      <c r="S53">
        <v>0.25196000000000002</v>
      </c>
      <c r="T53">
        <v>0.67</v>
      </c>
      <c r="U53">
        <v>0</v>
      </c>
      <c r="V53">
        <v>0</v>
      </c>
      <c r="W53">
        <v>0</v>
      </c>
      <c r="X53">
        <v>12.699400000000001</v>
      </c>
      <c r="Y53">
        <v>1.5228600000000001</v>
      </c>
      <c r="Z53">
        <v>0.26807999999999998</v>
      </c>
      <c r="AA53">
        <v>0.67</v>
      </c>
      <c r="AB53">
        <v>0</v>
      </c>
      <c r="AC53">
        <v>0</v>
      </c>
      <c r="AD53">
        <v>0</v>
      </c>
      <c r="AF53">
        <v>0.05</v>
      </c>
      <c r="AG53">
        <v>6525921</v>
      </c>
      <c r="AH53">
        <v>0</v>
      </c>
      <c r="AI53">
        <v>0</v>
      </c>
      <c r="AJ53">
        <v>0</v>
      </c>
      <c r="AK53">
        <v>0</v>
      </c>
      <c r="AL53">
        <v>0.06</v>
      </c>
      <c r="AM53">
        <v>7498477</v>
      </c>
      <c r="AN53">
        <v>0</v>
      </c>
      <c r="AO53">
        <v>0</v>
      </c>
      <c r="AP53">
        <v>0</v>
      </c>
      <c r="AQ53">
        <v>0</v>
      </c>
      <c r="AR53">
        <v>0.05</v>
      </c>
      <c r="AS53">
        <v>6031331</v>
      </c>
      <c r="AT53">
        <v>0</v>
      </c>
      <c r="AU53">
        <v>0</v>
      </c>
      <c r="AV53">
        <v>0</v>
      </c>
      <c r="AW53">
        <v>0</v>
      </c>
      <c r="BA53">
        <v>1089</v>
      </c>
      <c r="BB53" t="s">
        <v>244</v>
      </c>
      <c r="BC53">
        <v>489.5</v>
      </c>
      <c r="BD53">
        <v>479.3</v>
      </c>
    </row>
    <row r="54" spans="1:56" x14ac:dyDescent="0.25">
      <c r="A54">
        <v>1062</v>
      </c>
      <c r="B54" t="s">
        <v>242</v>
      </c>
      <c r="C54">
        <v>11.60242</v>
      </c>
      <c r="D54">
        <v>1.1995499999999999</v>
      </c>
      <c r="E54">
        <v>0.33</v>
      </c>
      <c r="F54">
        <v>0.67</v>
      </c>
      <c r="G54">
        <v>0</v>
      </c>
      <c r="H54">
        <v>0</v>
      </c>
      <c r="I54">
        <v>4.05</v>
      </c>
      <c r="J54">
        <v>13.00581</v>
      </c>
      <c r="K54">
        <v>0.84363999999999995</v>
      </c>
      <c r="L54">
        <v>0.33</v>
      </c>
      <c r="M54">
        <v>0.67</v>
      </c>
      <c r="N54">
        <v>0</v>
      </c>
      <c r="O54">
        <v>0</v>
      </c>
      <c r="P54">
        <v>2.6637900000000001</v>
      </c>
      <c r="Q54">
        <v>13.692600000000001</v>
      </c>
      <c r="R54">
        <v>1.1339699999999999</v>
      </c>
      <c r="S54">
        <v>0.33</v>
      </c>
      <c r="T54">
        <v>0.67</v>
      </c>
      <c r="U54">
        <v>0</v>
      </c>
      <c r="V54">
        <v>0</v>
      </c>
      <c r="W54">
        <v>2.49654</v>
      </c>
      <c r="X54">
        <v>13.51789</v>
      </c>
      <c r="Y54">
        <v>1.3042899999999999</v>
      </c>
      <c r="Z54">
        <v>0.33</v>
      </c>
      <c r="AA54">
        <v>0.67</v>
      </c>
      <c r="AB54">
        <v>0</v>
      </c>
      <c r="AC54">
        <v>0</v>
      </c>
      <c r="AD54">
        <v>2.6043500000000002</v>
      </c>
      <c r="AF54">
        <v>7.0000000000000007E-2</v>
      </c>
      <c r="AG54">
        <v>444584</v>
      </c>
      <c r="AH54">
        <v>0</v>
      </c>
      <c r="AI54">
        <v>0</v>
      </c>
      <c r="AJ54">
        <v>0</v>
      </c>
      <c r="AK54">
        <v>0</v>
      </c>
      <c r="AL54">
        <v>7.0000000000000007E-2</v>
      </c>
      <c r="AM54">
        <v>422116</v>
      </c>
      <c r="AN54">
        <v>0</v>
      </c>
      <c r="AO54">
        <v>0</v>
      </c>
      <c r="AP54">
        <v>0</v>
      </c>
      <c r="AQ54">
        <v>0</v>
      </c>
      <c r="AR54">
        <v>7.0000000000000007E-2</v>
      </c>
      <c r="AS54">
        <v>401336</v>
      </c>
      <c r="AT54">
        <v>0</v>
      </c>
      <c r="AU54">
        <v>0</v>
      </c>
      <c r="AV54">
        <v>0</v>
      </c>
      <c r="AW54">
        <v>0</v>
      </c>
      <c r="BA54">
        <v>1080</v>
      </c>
      <c r="BB54" t="s">
        <v>245</v>
      </c>
      <c r="BC54">
        <v>472.1</v>
      </c>
      <c r="BD54">
        <v>467.1</v>
      </c>
    </row>
    <row r="55" spans="1:56" x14ac:dyDescent="0.25">
      <c r="A55">
        <v>1071</v>
      </c>
      <c r="B55" t="s">
        <v>243</v>
      </c>
      <c r="C55">
        <v>15.448370000000001</v>
      </c>
      <c r="D55">
        <v>1.6613899999999999</v>
      </c>
      <c r="E55">
        <v>0.33</v>
      </c>
      <c r="F55">
        <v>0.56913999999999998</v>
      </c>
      <c r="G55">
        <v>0</v>
      </c>
      <c r="H55">
        <v>0</v>
      </c>
      <c r="I55">
        <v>1.2663800000000001</v>
      </c>
      <c r="J55">
        <v>15.65272</v>
      </c>
      <c r="K55">
        <v>1.2822800000000001</v>
      </c>
      <c r="L55">
        <v>0.33</v>
      </c>
      <c r="M55">
        <v>0.60177999999999998</v>
      </c>
      <c r="N55">
        <v>0</v>
      </c>
      <c r="O55">
        <v>0</v>
      </c>
      <c r="P55">
        <v>1.28321</v>
      </c>
      <c r="Q55">
        <v>14.94262</v>
      </c>
      <c r="R55">
        <v>1.7584900000000001</v>
      </c>
      <c r="S55">
        <v>0.33</v>
      </c>
      <c r="T55">
        <v>0.58575999999999995</v>
      </c>
      <c r="U55">
        <v>0</v>
      </c>
      <c r="V55">
        <v>0</v>
      </c>
      <c r="W55">
        <v>1.3194999999999999</v>
      </c>
      <c r="X55">
        <v>15.325889999999999</v>
      </c>
      <c r="Y55">
        <v>1.30149</v>
      </c>
      <c r="Z55">
        <v>0.33</v>
      </c>
      <c r="AA55">
        <v>0.59877999999999998</v>
      </c>
      <c r="AB55">
        <v>0</v>
      </c>
      <c r="AC55">
        <v>0</v>
      </c>
      <c r="AD55">
        <v>1.2796700000000001</v>
      </c>
      <c r="AF55">
        <v>0.01</v>
      </c>
      <c r="AG55">
        <v>47565</v>
      </c>
      <c r="AH55">
        <v>0</v>
      </c>
      <c r="AI55">
        <v>0</v>
      </c>
      <c r="AJ55">
        <v>0.02</v>
      </c>
      <c r="AK55">
        <v>95130</v>
      </c>
      <c r="AL55">
        <v>0.01</v>
      </c>
      <c r="AM55">
        <v>48119</v>
      </c>
      <c r="AN55">
        <v>0</v>
      </c>
      <c r="AO55">
        <v>0</v>
      </c>
      <c r="AP55">
        <v>0.02</v>
      </c>
      <c r="AQ55">
        <v>96238</v>
      </c>
      <c r="AR55">
        <v>0.02</v>
      </c>
      <c r="AS55">
        <v>94390</v>
      </c>
      <c r="AT55">
        <v>0</v>
      </c>
      <c r="AU55">
        <v>0</v>
      </c>
      <c r="AV55">
        <v>0.02</v>
      </c>
      <c r="AW55">
        <v>94390</v>
      </c>
      <c r="BA55">
        <v>1082</v>
      </c>
      <c r="BB55" t="s">
        <v>246</v>
      </c>
      <c r="BC55">
        <v>1487.6</v>
      </c>
      <c r="BD55">
        <v>1477.6</v>
      </c>
    </row>
    <row r="56" spans="1:56" x14ac:dyDescent="0.25">
      <c r="A56">
        <v>1079</v>
      </c>
      <c r="B56" t="s">
        <v>248</v>
      </c>
      <c r="C56">
        <v>10.41131</v>
      </c>
      <c r="D56">
        <v>1.63046</v>
      </c>
      <c r="E56">
        <v>0</v>
      </c>
      <c r="F56">
        <v>0</v>
      </c>
      <c r="G56">
        <v>0</v>
      </c>
      <c r="H56">
        <v>0</v>
      </c>
      <c r="I56">
        <v>0</v>
      </c>
      <c r="J56">
        <v>11.20688</v>
      </c>
      <c r="K56">
        <v>0.90961000000000003</v>
      </c>
      <c r="L56">
        <v>0</v>
      </c>
      <c r="M56">
        <v>0</v>
      </c>
      <c r="N56">
        <v>0</v>
      </c>
      <c r="O56">
        <v>0</v>
      </c>
      <c r="P56">
        <v>0</v>
      </c>
      <c r="Q56">
        <v>12.436360000000001</v>
      </c>
      <c r="R56">
        <v>1.1701299999999999</v>
      </c>
      <c r="S56">
        <v>0</v>
      </c>
      <c r="T56">
        <v>0</v>
      </c>
      <c r="U56">
        <v>0</v>
      </c>
      <c r="V56">
        <v>0</v>
      </c>
      <c r="W56">
        <v>0</v>
      </c>
      <c r="X56">
        <v>12.688140000000001</v>
      </c>
      <c r="Y56">
        <v>1.25206</v>
      </c>
      <c r="Z56">
        <v>0</v>
      </c>
      <c r="AA56">
        <v>0</v>
      </c>
      <c r="AB56">
        <v>0</v>
      </c>
      <c r="AC56">
        <v>0</v>
      </c>
      <c r="AD56">
        <v>0</v>
      </c>
      <c r="AF56">
        <v>0.1</v>
      </c>
      <c r="AG56">
        <v>339831</v>
      </c>
      <c r="AH56">
        <v>0</v>
      </c>
      <c r="AI56">
        <v>0</v>
      </c>
      <c r="AJ56">
        <v>0</v>
      </c>
      <c r="AK56">
        <v>0</v>
      </c>
      <c r="AL56">
        <v>0.1</v>
      </c>
      <c r="AM56">
        <v>329941</v>
      </c>
      <c r="AN56">
        <v>0</v>
      </c>
      <c r="AO56">
        <v>0</v>
      </c>
      <c r="AP56">
        <v>0</v>
      </c>
      <c r="AQ56">
        <v>0</v>
      </c>
      <c r="AR56">
        <v>0.1</v>
      </c>
      <c r="AS56">
        <v>329049</v>
      </c>
      <c r="AT56">
        <v>0</v>
      </c>
      <c r="AU56">
        <v>0</v>
      </c>
      <c r="AV56">
        <v>0</v>
      </c>
      <c r="AW56">
        <v>0</v>
      </c>
      <c r="BA56">
        <v>1093</v>
      </c>
      <c r="BB56" t="s">
        <v>247</v>
      </c>
      <c r="BC56">
        <v>672.7</v>
      </c>
      <c r="BD56">
        <v>682.4</v>
      </c>
    </row>
    <row r="57" spans="1:56" x14ac:dyDescent="0.25">
      <c r="A57">
        <v>1080</v>
      </c>
      <c r="B57" t="s">
        <v>245</v>
      </c>
      <c r="C57">
        <v>9.9353300000000004</v>
      </c>
      <c r="D57">
        <v>1.8594999999999999</v>
      </c>
      <c r="E57">
        <v>0.33</v>
      </c>
      <c r="F57">
        <v>0.48632999999999998</v>
      </c>
      <c r="G57">
        <v>0</v>
      </c>
      <c r="H57">
        <v>0</v>
      </c>
      <c r="I57">
        <v>0</v>
      </c>
      <c r="J57">
        <v>10.20979</v>
      </c>
      <c r="K57">
        <v>1.94316</v>
      </c>
      <c r="L57">
        <v>0.33</v>
      </c>
      <c r="M57">
        <v>0.49625000000000002</v>
      </c>
      <c r="N57">
        <v>0</v>
      </c>
      <c r="O57">
        <v>0</v>
      </c>
      <c r="P57">
        <v>0</v>
      </c>
      <c r="Q57">
        <v>11.921419999999999</v>
      </c>
      <c r="R57">
        <v>2.02657</v>
      </c>
      <c r="S57">
        <v>0.33</v>
      </c>
      <c r="T57">
        <v>0.36352000000000001</v>
      </c>
      <c r="U57">
        <v>0</v>
      </c>
      <c r="V57">
        <v>0</v>
      </c>
      <c r="W57">
        <v>0</v>
      </c>
      <c r="X57">
        <v>13.155939999999999</v>
      </c>
      <c r="Y57">
        <v>1.15463</v>
      </c>
      <c r="Z57">
        <v>0.33</v>
      </c>
      <c r="AA57">
        <v>0</v>
      </c>
      <c r="AB57">
        <v>0</v>
      </c>
      <c r="AC57">
        <v>0</v>
      </c>
      <c r="AD57">
        <v>0</v>
      </c>
      <c r="AF57">
        <v>0.01</v>
      </c>
      <c r="AG57">
        <v>28342</v>
      </c>
      <c r="AH57">
        <v>0</v>
      </c>
      <c r="AI57">
        <v>0</v>
      </c>
      <c r="AJ57">
        <v>0.01</v>
      </c>
      <c r="AK57">
        <v>28342</v>
      </c>
      <c r="AL57">
        <v>0.08</v>
      </c>
      <c r="AM57">
        <v>192132</v>
      </c>
      <c r="AN57">
        <v>0</v>
      </c>
      <c r="AO57">
        <v>0</v>
      </c>
      <c r="AP57">
        <v>0.02</v>
      </c>
      <c r="AQ57">
        <v>48033</v>
      </c>
      <c r="AR57">
        <v>0.08</v>
      </c>
      <c r="AS57">
        <v>177110</v>
      </c>
      <c r="AT57">
        <v>0</v>
      </c>
      <c r="AU57">
        <v>0</v>
      </c>
      <c r="AV57">
        <v>0</v>
      </c>
      <c r="AW57">
        <v>0</v>
      </c>
      <c r="BA57">
        <v>1079</v>
      </c>
      <c r="BB57" t="s">
        <v>248</v>
      </c>
      <c r="BC57">
        <v>832.6</v>
      </c>
      <c r="BD57">
        <v>802.8</v>
      </c>
    </row>
    <row r="58" spans="1:56" x14ac:dyDescent="0.25">
      <c r="A58">
        <v>1082</v>
      </c>
      <c r="B58" t="s">
        <v>246</v>
      </c>
      <c r="C58">
        <v>10.69703</v>
      </c>
      <c r="D58">
        <v>1.3616999999999999</v>
      </c>
      <c r="E58">
        <v>0.33</v>
      </c>
      <c r="F58">
        <v>0.67</v>
      </c>
      <c r="G58">
        <v>0</v>
      </c>
      <c r="H58">
        <v>0</v>
      </c>
      <c r="I58">
        <v>2.0190800000000002</v>
      </c>
      <c r="J58">
        <v>11.186769999999999</v>
      </c>
      <c r="K58">
        <v>1.0622100000000001</v>
      </c>
      <c r="L58">
        <v>0.33</v>
      </c>
      <c r="M58">
        <v>0.67</v>
      </c>
      <c r="N58">
        <v>0</v>
      </c>
      <c r="O58">
        <v>0</v>
      </c>
      <c r="P58">
        <v>2.1268099999999999</v>
      </c>
      <c r="Q58">
        <v>11.52946</v>
      </c>
      <c r="R58">
        <v>0.66568000000000005</v>
      </c>
      <c r="S58">
        <v>0.33</v>
      </c>
      <c r="T58">
        <v>0.67</v>
      </c>
      <c r="U58">
        <v>0</v>
      </c>
      <c r="V58">
        <v>0</v>
      </c>
      <c r="W58">
        <v>2.1844199999999998</v>
      </c>
      <c r="X58">
        <v>11.790319999999999</v>
      </c>
      <c r="Y58">
        <v>0.47072000000000003</v>
      </c>
      <c r="Z58">
        <v>0.33</v>
      </c>
      <c r="AA58">
        <v>0.67</v>
      </c>
      <c r="AB58">
        <v>0</v>
      </c>
      <c r="AC58">
        <v>0</v>
      </c>
      <c r="AD58">
        <v>2.24064</v>
      </c>
      <c r="AF58">
        <v>0.08</v>
      </c>
      <c r="AG58">
        <v>650606</v>
      </c>
      <c r="AH58">
        <v>0</v>
      </c>
      <c r="AI58">
        <v>0</v>
      </c>
      <c r="AJ58">
        <v>0</v>
      </c>
      <c r="AK58">
        <v>0</v>
      </c>
      <c r="AL58">
        <v>0.08</v>
      </c>
      <c r="AM58">
        <v>629160</v>
      </c>
      <c r="AN58">
        <v>0</v>
      </c>
      <c r="AO58">
        <v>0</v>
      </c>
      <c r="AP58">
        <v>0</v>
      </c>
      <c r="AQ58">
        <v>0</v>
      </c>
      <c r="AR58">
        <v>0.08</v>
      </c>
      <c r="AS58">
        <v>630046</v>
      </c>
      <c r="AT58">
        <v>0</v>
      </c>
      <c r="AU58">
        <v>0</v>
      </c>
      <c r="AV58">
        <v>0</v>
      </c>
      <c r="AW58">
        <v>0</v>
      </c>
      <c r="BA58">
        <v>1095</v>
      </c>
      <c r="BB58" t="s">
        <v>249</v>
      </c>
      <c r="BC58">
        <v>696.5</v>
      </c>
      <c r="BD58">
        <v>688.8</v>
      </c>
    </row>
    <row r="59" spans="1:56" x14ac:dyDescent="0.25">
      <c r="A59">
        <v>1089</v>
      </c>
      <c r="B59" t="s">
        <v>244</v>
      </c>
      <c r="C59">
        <v>13.36009</v>
      </c>
      <c r="D59">
        <v>0.97053999999999996</v>
      </c>
      <c r="E59">
        <v>0.33</v>
      </c>
      <c r="F59">
        <v>0.67</v>
      </c>
      <c r="G59">
        <v>0</v>
      </c>
      <c r="H59">
        <v>0</v>
      </c>
      <c r="I59">
        <v>2.03762</v>
      </c>
      <c r="J59">
        <v>12.38083</v>
      </c>
      <c r="K59">
        <v>0.80454000000000003</v>
      </c>
      <c r="L59">
        <v>0.33</v>
      </c>
      <c r="M59">
        <v>0.67</v>
      </c>
      <c r="N59">
        <v>0</v>
      </c>
      <c r="O59">
        <v>0</v>
      </c>
      <c r="P59">
        <v>3.42319</v>
      </c>
      <c r="Q59">
        <v>13.694660000000001</v>
      </c>
      <c r="R59">
        <v>0.93823999999999996</v>
      </c>
      <c r="S59">
        <v>0.33</v>
      </c>
      <c r="T59">
        <v>0.67</v>
      </c>
      <c r="U59">
        <v>0</v>
      </c>
      <c r="V59">
        <v>0</v>
      </c>
      <c r="W59">
        <v>1.95038</v>
      </c>
      <c r="X59">
        <v>13.650919999999999</v>
      </c>
      <c r="Y59">
        <v>1.5611999999999999</v>
      </c>
      <c r="Z59">
        <v>0.33</v>
      </c>
      <c r="AA59">
        <v>0.67</v>
      </c>
      <c r="AB59">
        <v>0</v>
      </c>
      <c r="AC59">
        <v>0</v>
      </c>
      <c r="AD59">
        <v>2.1019600000000001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BA59">
        <v>4772</v>
      </c>
      <c r="BB59" t="s">
        <v>612</v>
      </c>
      <c r="BC59">
        <v>865.2</v>
      </c>
      <c r="BD59">
        <v>843.6</v>
      </c>
    </row>
    <row r="60" spans="1:56" x14ac:dyDescent="0.25">
      <c r="A60">
        <v>1093</v>
      </c>
      <c r="B60" t="s">
        <v>247</v>
      </c>
      <c r="C60">
        <v>13.24075</v>
      </c>
      <c r="D60">
        <v>1.4545300000000001</v>
      </c>
      <c r="E60">
        <v>0.33</v>
      </c>
      <c r="F60">
        <v>0</v>
      </c>
      <c r="G60">
        <v>0</v>
      </c>
      <c r="H60">
        <v>0</v>
      </c>
      <c r="I60">
        <v>2.1518299999999999</v>
      </c>
      <c r="J60">
        <v>12.53111</v>
      </c>
      <c r="K60">
        <v>2.12513</v>
      </c>
      <c r="L60">
        <v>0.33</v>
      </c>
      <c r="M60">
        <v>0</v>
      </c>
      <c r="N60">
        <v>0</v>
      </c>
      <c r="O60">
        <v>0</v>
      </c>
      <c r="P60">
        <v>2.1925599999999998</v>
      </c>
      <c r="Q60">
        <v>13.42876</v>
      </c>
      <c r="R60">
        <v>1.3022199999999999</v>
      </c>
      <c r="S60">
        <v>0.33</v>
      </c>
      <c r="T60">
        <v>0</v>
      </c>
      <c r="U60">
        <v>0</v>
      </c>
      <c r="V60">
        <v>0</v>
      </c>
      <c r="W60">
        <v>2.1219999999999999</v>
      </c>
      <c r="X60">
        <v>13.63336</v>
      </c>
      <c r="Y60">
        <v>1.44564</v>
      </c>
      <c r="Z60">
        <v>0.33</v>
      </c>
      <c r="AA60">
        <v>0</v>
      </c>
      <c r="AB60">
        <v>0</v>
      </c>
      <c r="AC60">
        <v>0</v>
      </c>
      <c r="AD60">
        <v>2.0025599999999999</v>
      </c>
      <c r="AF60">
        <v>7.0000000000000007E-2</v>
      </c>
      <c r="AG60">
        <v>130906</v>
      </c>
      <c r="AH60">
        <v>0</v>
      </c>
      <c r="AI60">
        <v>0</v>
      </c>
      <c r="AJ60">
        <v>0</v>
      </c>
      <c r="AK60">
        <v>0</v>
      </c>
      <c r="AL60">
        <v>0.1</v>
      </c>
      <c r="AM60">
        <v>180414</v>
      </c>
      <c r="AN60">
        <v>0</v>
      </c>
      <c r="AO60">
        <v>0</v>
      </c>
      <c r="AP60">
        <v>0</v>
      </c>
      <c r="AQ60">
        <v>0</v>
      </c>
      <c r="AR60">
        <v>0.1</v>
      </c>
      <c r="AS60">
        <v>181053</v>
      </c>
      <c r="AT60">
        <v>0</v>
      </c>
      <c r="AU60">
        <v>0</v>
      </c>
      <c r="AV60">
        <v>0</v>
      </c>
      <c r="AW60">
        <v>0</v>
      </c>
      <c r="BA60">
        <v>1107</v>
      </c>
      <c r="BB60" t="s">
        <v>251</v>
      </c>
      <c r="BC60">
        <v>1361.1</v>
      </c>
      <c r="BD60">
        <v>1343.6</v>
      </c>
    </row>
    <row r="61" spans="1:56" x14ac:dyDescent="0.25">
      <c r="A61">
        <v>1095</v>
      </c>
      <c r="B61" t="s">
        <v>249</v>
      </c>
      <c r="C61">
        <v>10.933120000000001</v>
      </c>
      <c r="D61">
        <v>0.41139999999999999</v>
      </c>
      <c r="E61">
        <v>0.33</v>
      </c>
      <c r="F61">
        <v>0.67</v>
      </c>
      <c r="G61">
        <v>0.13500000000000001</v>
      </c>
      <c r="H61">
        <v>0</v>
      </c>
      <c r="I61">
        <v>0.90625999999999995</v>
      </c>
      <c r="J61">
        <v>10.13978</v>
      </c>
      <c r="K61">
        <v>0.90080000000000005</v>
      </c>
      <c r="L61">
        <v>0.33</v>
      </c>
      <c r="M61">
        <v>0.67</v>
      </c>
      <c r="N61">
        <v>0.13500000000000001</v>
      </c>
      <c r="O61">
        <v>0</v>
      </c>
      <c r="P61">
        <v>1.20692</v>
      </c>
      <c r="Q61">
        <v>11.048719999999999</v>
      </c>
      <c r="R61">
        <v>0.47001999999999999</v>
      </c>
      <c r="S61">
        <v>0.33</v>
      </c>
      <c r="T61">
        <v>0.67</v>
      </c>
      <c r="U61">
        <v>0.13500000000000001</v>
      </c>
      <c r="V61">
        <v>0</v>
      </c>
      <c r="W61">
        <v>1.0471299999999999</v>
      </c>
      <c r="X61">
        <v>11.51469</v>
      </c>
      <c r="Y61">
        <v>0.44128000000000001</v>
      </c>
      <c r="Z61">
        <v>0.33</v>
      </c>
      <c r="AA61">
        <v>0.67</v>
      </c>
      <c r="AB61">
        <v>0.13500000000000001</v>
      </c>
      <c r="AC61">
        <v>0</v>
      </c>
      <c r="AD61">
        <v>0.62087999999999999</v>
      </c>
      <c r="AF61">
        <v>0.08</v>
      </c>
      <c r="AG61">
        <v>320253</v>
      </c>
      <c r="AH61">
        <v>0</v>
      </c>
      <c r="AI61">
        <v>0</v>
      </c>
      <c r="AJ61">
        <v>0</v>
      </c>
      <c r="AK61">
        <v>0</v>
      </c>
      <c r="AL61">
        <v>0.09</v>
      </c>
      <c r="AM61">
        <v>315399</v>
      </c>
      <c r="AN61">
        <v>0</v>
      </c>
      <c r="AO61">
        <v>0</v>
      </c>
      <c r="AP61">
        <v>0</v>
      </c>
      <c r="AQ61">
        <v>0</v>
      </c>
      <c r="AR61">
        <v>0.09</v>
      </c>
      <c r="AS61">
        <v>287754</v>
      </c>
      <c r="AT61">
        <v>0</v>
      </c>
      <c r="AU61">
        <v>0</v>
      </c>
      <c r="AV61">
        <v>0</v>
      </c>
      <c r="AW61">
        <v>0</v>
      </c>
      <c r="BA61">
        <v>1116</v>
      </c>
      <c r="BB61" t="s">
        <v>252</v>
      </c>
      <c r="BC61">
        <v>1579.7</v>
      </c>
      <c r="BD61">
        <v>1589.3</v>
      </c>
    </row>
    <row r="62" spans="1:56" x14ac:dyDescent="0.25">
      <c r="A62">
        <v>1107</v>
      </c>
      <c r="B62" t="s">
        <v>251</v>
      </c>
      <c r="C62">
        <v>12.011229999999999</v>
      </c>
      <c r="D62">
        <v>1.27085</v>
      </c>
      <c r="E62">
        <v>0.33</v>
      </c>
      <c r="F62">
        <v>0.94893000000000005</v>
      </c>
      <c r="G62">
        <v>0</v>
      </c>
      <c r="H62">
        <v>0</v>
      </c>
      <c r="I62">
        <v>0</v>
      </c>
      <c r="J62">
        <v>11.723280000000001</v>
      </c>
      <c r="K62">
        <v>1.0802799999999999</v>
      </c>
      <c r="L62">
        <v>0.33</v>
      </c>
      <c r="M62">
        <v>0.98146999999999995</v>
      </c>
      <c r="N62">
        <v>0</v>
      </c>
      <c r="O62">
        <v>0</v>
      </c>
      <c r="P62">
        <v>0</v>
      </c>
      <c r="Q62">
        <v>13.20058</v>
      </c>
      <c r="R62">
        <v>1.56355</v>
      </c>
      <c r="S62">
        <v>0.33</v>
      </c>
      <c r="T62">
        <v>0.43099999999999999</v>
      </c>
      <c r="U62">
        <v>0</v>
      </c>
      <c r="V62">
        <v>0</v>
      </c>
      <c r="W62">
        <v>0</v>
      </c>
      <c r="X62">
        <v>14.124650000000001</v>
      </c>
      <c r="Y62">
        <v>1.18167</v>
      </c>
      <c r="Z62">
        <v>0.33</v>
      </c>
      <c r="AA62">
        <v>0.36996000000000001</v>
      </c>
      <c r="AB62">
        <v>0</v>
      </c>
      <c r="AC62">
        <v>0</v>
      </c>
      <c r="AD62">
        <v>0</v>
      </c>
      <c r="AF62">
        <v>0.02</v>
      </c>
      <c r="AG62">
        <v>99793</v>
      </c>
      <c r="AH62">
        <v>0</v>
      </c>
      <c r="AI62">
        <v>0</v>
      </c>
      <c r="AJ62">
        <v>0.02</v>
      </c>
      <c r="AK62">
        <v>99793</v>
      </c>
      <c r="AL62">
        <v>0.1</v>
      </c>
      <c r="AM62">
        <v>488348</v>
      </c>
      <c r="AN62">
        <v>0</v>
      </c>
      <c r="AO62">
        <v>0</v>
      </c>
      <c r="AP62">
        <v>0.05</v>
      </c>
      <c r="AQ62">
        <v>244174</v>
      </c>
      <c r="AR62">
        <v>0.1</v>
      </c>
      <c r="AS62">
        <v>492546</v>
      </c>
      <c r="AT62">
        <v>0</v>
      </c>
      <c r="AU62">
        <v>0</v>
      </c>
      <c r="AV62">
        <v>0.05</v>
      </c>
      <c r="AW62">
        <v>246273</v>
      </c>
      <c r="BA62">
        <v>1134</v>
      </c>
      <c r="BB62" t="s">
        <v>253</v>
      </c>
      <c r="BC62">
        <v>304.60000000000002</v>
      </c>
      <c r="BD62">
        <v>293.60000000000002</v>
      </c>
    </row>
    <row r="63" spans="1:56" x14ac:dyDescent="0.25">
      <c r="A63">
        <v>1116</v>
      </c>
      <c r="B63" t="s">
        <v>252</v>
      </c>
      <c r="C63">
        <v>10.640280000000001</v>
      </c>
      <c r="D63">
        <v>1.14777</v>
      </c>
      <c r="E63">
        <v>0.33</v>
      </c>
      <c r="F63">
        <v>1.34</v>
      </c>
      <c r="G63">
        <v>0</v>
      </c>
      <c r="H63">
        <v>0</v>
      </c>
      <c r="I63">
        <v>0</v>
      </c>
      <c r="J63">
        <v>10.247350000000001</v>
      </c>
      <c r="K63">
        <v>0.70511999999999997</v>
      </c>
      <c r="L63">
        <v>0.33</v>
      </c>
      <c r="M63">
        <v>1.34</v>
      </c>
      <c r="N63">
        <v>0</v>
      </c>
      <c r="O63">
        <v>0</v>
      </c>
      <c r="P63">
        <v>0</v>
      </c>
      <c r="Q63">
        <v>10.770300000000001</v>
      </c>
      <c r="R63">
        <v>0.67457</v>
      </c>
      <c r="S63">
        <v>0.33</v>
      </c>
      <c r="T63">
        <v>0.88419000000000003</v>
      </c>
      <c r="U63">
        <v>0</v>
      </c>
      <c r="V63">
        <v>0</v>
      </c>
      <c r="W63">
        <v>0</v>
      </c>
      <c r="X63">
        <v>12.204739999999999</v>
      </c>
      <c r="Y63">
        <v>0.69626999999999994</v>
      </c>
      <c r="Z63">
        <v>0</v>
      </c>
      <c r="AA63">
        <v>0.89344999999999997</v>
      </c>
      <c r="AB63">
        <v>0</v>
      </c>
      <c r="AC63">
        <v>0</v>
      </c>
      <c r="AD63">
        <v>0</v>
      </c>
      <c r="AF63">
        <v>0.06</v>
      </c>
      <c r="AG63">
        <v>471346</v>
      </c>
      <c r="AH63">
        <v>0</v>
      </c>
      <c r="AI63">
        <v>0</v>
      </c>
      <c r="AJ63">
        <v>0</v>
      </c>
      <c r="AK63">
        <v>0</v>
      </c>
      <c r="AL63">
        <v>0.06</v>
      </c>
      <c r="AM63">
        <v>450617</v>
      </c>
      <c r="AN63">
        <v>0</v>
      </c>
      <c r="AO63">
        <v>0</v>
      </c>
      <c r="AP63">
        <v>0.03</v>
      </c>
      <c r="AQ63">
        <v>225309</v>
      </c>
      <c r="AR63">
        <v>0.06</v>
      </c>
      <c r="AS63">
        <v>425814</v>
      </c>
      <c r="AT63">
        <v>0</v>
      </c>
      <c r="AU63">
        <v>0</v>
      </c>
      <c r="AV63">
        <v>0.03</v>
      </c>
      <c r="AW63">
        <v>212907</v>
      </c>
      <c r="BA63">
        <v>1152</v>
      </c>
      <c r="BB63" t="s">
        <v>254</v>
      </c>
      <c r="BC63">
        <v>959.2</v>
      </c>
      <c r="BD63">
        <v>975.1</v>
      </c>
    </row>
    <row r="64" spans="1:56" x14ac:dyDescent="0.25">
      <c r="A64">
        <v>1134</v>
      </c>
      <c r="B64" t="s">
        <v>253</v>
      </c>
      <c r="C64">
        <v>8.1515400000000007</v>
      </c>
      <c r="D64">
        <v>0.66981000000000002</v>
      </c>
      <c r="E64">
        <v>0.33</v>
      </c>
      <c r="F64">
        <v>0.17860999999999999</v>
      </c>
      <c r="G64">
        <v>0</v>
      </c>
      <c r="H64">
        <v>0</v>
      </c>
      <c r="I64">
        <v>0</v>
      </c>
      <c r="J64">
        <v>8.7611600000000003</v>
      </c>
      <c r="K64">
        <v>0.65493000000000001</v>
      </c>
      <c r="L64">
        <v>0.33</v>
      </c>
      <c r="M64">
        <v>0.11527</v>
      </c>
      <c r="N64">
        <v>0</v>
      </c>
      <c r="O64">
        <v>0</v>
      </c>
      <c r="P64">
        <v>0</v>
      </c>
      <c r="Q64">
        <v>8.60318</v>
      </c>
      <c r="R64">
        <v>1.1457900000000001</v>
      </c>
      <c r="S64">
        <v>0.33</v>
      </c>
      <c r="T64">
        <v>0.13319</v>
      </c>
      <c r="U64">
        <v>0</v>
      </c>
      <c r="V64">
        <v>0</v>
      </c>
      <c r="W64">
        <v>0</v>
      </c>
      <c r="X64">
        <v>9.8319600000000005</v>
      </c>
      <c r="Y64">
        <v>1.09823</v>
      </c>
      <c r="Z64">
        <v>0.33</v>
      </c>
      <c r="AA64">
        <v>0.1188</v>
      </c>
      <c r="AB64">
        <v>0</v>
      </c>
      <c r="AC64">
        <v>0</v>
      </c>
      <c r="AD64">
        <v>0</v>
      </c>
      <c r="AF64">
        <v>0.05</v>
      </c>
      <c r="AG64">
        <v>76231</v>
      </c>
      <c r="AH64">
        <v>0</v>
      </c>
      <c r="AI64">
        <v>0</v>
      </c>
      <c r="AJ64">
        <v>0.05</v>
      </c>
      <c r="AK64">
        <v>76231</v>
      </c>
      <c r="AL64">
        <v>0.05</v>
      </c>
      <c r="AM64">
        <v>70277</v>
      </c>
      <c r="AN64">
        <v>0</v>
      </c>
      <c r="AO64">
        <v>0</v>
      </c>
      <c r="AP64">
        <v>0.05</v>
      </c>
      <c r="AQ64">
        <v>70277</v>
      </c>
      <c r="AR64">
        <v>0.05</v>
      </c>
      <c r="AS64">
        <v>65247</v>
      </c>
      <c r="AT64">
        <v>0</v>
      </c>
      <c r="AU64">
        <v>0</v>
      </c>
      <c r="AV64">
        <v>0.05</v>
      </c>
      <c r="AW64">
        <v>65247</v>
      </c>
      <c r="BA64">
        <v>1197</v>
      </c>
      <c r="BB64" t="s">
        <v>255</v>
      </c>
      <c r="BC64">
        <v>947.2</v>
      </c>
      <c r="BD64">
        <v>938.7</v>
      </c>
    </row>
    <row r="65" spans="1:56" x14ac:dyDescent="0.25">
      <c r="A65">
        <v>1152</v>
      </c>
      <c r="B65" t="s">
        <v>254</v>
      </c>
      <c r="C65">
        <v>11.42146</v>
      </c>
      <c r="D65">
        <v>1.16679</v>
      </c>
      <c r="E65">
        <v>0.33</v>
      </c>
      <c r="F65">
        <v>0.85</v>
      </c>
      <c r="G65">
        <v>0</v>
      </c>
      <c r="H65">
        <v>0</v>
      </c>
      <c r="I65">
        <v>0</v>
      </c>
      <c r="J65">
        <v>11.6135</v>
      </c>
      <c r="K65">
        <v>1.5885199999999999</v>
      </c>
      <c r="L65">
        <v>0.33</v>
      </c>
      <c r="M65">
        <v>0.85</v>
      </c>
      <c r="N65">
        <v>0</v>
      </c>
      <c r="O65">
        <v>0</v>
      </c>
      <c r="P65">
        <v>0</v>
      </c>
      <c r="Q65">
        <v>11.78069</v>
      </c>
      <c r="R65">
        <v>1.79863</v>
      </c>
      <c r="S65">
        <v>0.33</v>
      </c>
      <c r="T65">
        <v>0.85</v>
      </c>
      <c r="U65">
        <v>0</v>
      </c>
      <c r="V65">
        <v>0</v>
      </c>
      <c r="W65">
        <v>0</v>
      </c>
      <c r="X65">
        <v>13.07319</v>
      </c>
      <c r="Y65">
        <v>1.0262800000000001</v>
      </c>
      <c r="Z65">
        <v>0.33</v>
      </c>
      <c r="AA65">
        <v>0.85</v>
      </c>
      <c r="AB65">
        <v>0</v>
      </c>
      <c r="AC65">
        <v>0</v>
      </c>
      <c r="AD65">
        <v>0</v>
      </c>
      <c r="AF65">
        <v>0.05</v>
      </c>
      <c r="AG65">
        <v>259802</v>
      </c>
      <c r="AH65">
        <v>0</v>
      </c>
      <c r="AI65">
        <v>0</v>
      </c>
      <c r="AJ65">
        <v>0</v>
      </c>
      <c r="AK65">
        <v>0</v>
      </c>
      <c r="AL65">
        <v>0.05</v>
      </c>
      <c r="AM65">
        <v>258745</v>
      </c>
      <c r="AN65">
        <v>0</v>
      </c>
      <c r="AO65">
        <v>0</v>
      </c>
      <c r="AP65">
        <v>0</v>
      </c>
      <c r="AQ65">
        <v>0</v>
      </c>
      <c r="AR65">
        <v>0.05</v>
      </c>
      <c r="AS65">
        <v>251292</v>
      </c>
      <c r="AT65">
        <v>0</v>
      </c>
      <c r="AU65">
        <v>0</v>
      </c>
      <c r="AV65">
        <v>0</v>
      </c>
      <c r="AW65">
        <v>0</v>
      </c>
      <c r="BA65">
        <v>1206</v>
      </c>
      <c r="BB65" t="s">
        <v>601</v>
      </c>
      <c r="BC65">
        <v>798.6</v>
      </c>
      <c r="BD65">
        <v>806.9</v>
      </c>
    </row>
    <row r="66" spans="1:56" x14ac:dyDescent="0.25">
      <c r="A66">
        <v>1197</v>
      </c>
      <c r="B66" t="s">
        <v>255</v>
      </c>
      <c r="C66">
        <v>9.5380699999999994</v>
      </c>
      <c r="D66">
        <v>0.66642999999999997</v>
      </c>
      <c r="E66">
        <v>0.33</v>
      </c>
      <c r="F66">
        <v>0</v>
      </c>
      <c r="G66">
        <v>0</v>
      </c>
      <c r="H66">
        <v>0</v>
      </c>
      <c r="I66">
        <v>0</v>
      </c>
      <c r="J66">
        <v>9.4226700000000001</v>
      </c>
      <c r="K66">
        <v>0.67510000000000003</v>
      </c>
      <c r="L66">
        <v>0.33</v>
      </c>
      <c r="M66">
        <v>0</v>
      </c>
      <c r="N66">
        <v>0</v>
      </c>
      <c r="O66">
        <v>0</v>
      </c>
      <c r="P66">
        <v>0</v>
      </c>
      <c r="Q66">
        <v>10.71063</v>
      </c>
      <c r="R66">
        <v>0.70028000000000001</v>
      </c>
      <c r="S66">
        <v>0.33</v>
      </c>
      <c r="T66">
        <v>0</v>
      </c>
      <c r="U66">
        <v>0</v>
      </c>
      <c r="V66">
        <v>0</v>
      </c>
      <c r="W66">
        <v>0</v>
      </c>
      <c r="X66">
        <v>12.30462</v>
      </c>
      <c r="Y66">
        <v>0.62583</v>
      </c>
      <c r="Z66">
        <v>0.33</v>
      </c>
      <c r="AA66">
        <v>0</v>
      </c>
      <c r="AB66">
        <v>0</v>
      </c>
      <c r="AC66">
        <v>0</v>
      </c>
      <c r="AD66">
        <v>0</v>
      </c>
      <c r="AF66">
        <v>0.05</v>
      </c>
      <c r="AG66">
        <v>248373</v>
      </c>
      <c r="AH66">
        <v>0</v>
      </c>
      <c r="AI66">
        <v>0</v>
      </c>
      <c r="AJ66">
        <v>0</v>
      </c>
      <c r="AK66">
        <v>0</v>
      </c>
      <c r="AL66">
        <v>0.05</v>
      </c>
      <c r="AM66">
        <v>236683</v>
      </c>
      <c r="AN66">
        <v>0</v>
      </c>
      <c r="AO66">
        <v>0</v>
      </c>
      <c r="AP66">
        <v>0</v>
      </c>
      <c r="AQ66">
        <v>0</v>
      </c>
      <c r="AR66">
        <v>0.05</v>
      </c>
      <c r="AS66">
        <v>222774</v>
      </c>
      <c r="AT66">
        <v>0</v>
      </c>
      <c r="AU66">
        <v>0</v>
      </c>
      <c r="AV66">
        <v>0</v>
      </c>
      <c r="AW66">
        <v>0</v>
      </c>
      <c r="BA66">
        <v>1211</v>
      </c>
      <c r="BB66" t="s">
        <v>257</v>
      </c>
      <c r="BC66">
        <v>1435.6</v>
      </c>
      <c r="BD66">
        <v>1448.1</v>
      </c>
    </row>
    <row r="67" spans="1:56" x14ac:dyDescent="0.25">
      <c r="A67">
        <v>1206</v>
      </c>
      <c r="B67" t="s">
        <v>601</v>
      </c>
      <c r="C67">
        <v>10.42597</v>
      </c>
      <c r="D67">
        <v>1.17693</v>
      </c>
      <c r="E67">
        <v>0.33</v>
      </c>
      <c r="F67">
        <v>0.67</v>
      </c>
      <c r="G67">
        <v>0</v>
      </c>
      <c r="H67">
        <v>0</v>
      </c>
      <c r="I67">
        <v>0.55081000000000002</v>
      </c>
      <c r="J67">
        <v>11.550840000000001</v>
      </c>
      <c r="K67">
        <v>1.7223599999999999</v>
      </c>
      <c r="L67">
        <v>0.33</v>
      </c>
      <c r="M67">
        <v>1.34</v>
      </c>
      <c r="N67">
        <v>0</v>
      </c>
      <c r="O67">
        <v>0</v>
      </c>
      <c r="P67">
        <v>0.55000000000000004</v>
      </c>
      <c r="Q67">
        <v>11.74338</v>
      </c>
      <c r="R67">
        <v>1.58483</v>
      </c>
      <c r="S67">
        <v>0.33</v>
      </c>
      <c r="T67">
        <v>1.34</v>
      </c>
      <c r="U67">
        <v>0</v>
      </c>
      <c r="V67">
        <v>0</v>
      </c>
      <c r="W67">
        <v>0.55000000000000004</v>
      </c>
      <c r="X67">
        <v>11.98629</v>
      </c>
      <c r="Y67">
        <v>1.3327500000000001</v>
      </c>
      <c r="Z67">
        <v>0.33</v>
      </c>
      <c r="AA67">
        <v>1.34</v>
      </c>
      <c r="AB67">
        <v>0</v>
      </c>
      <c r="AC67">
        <v>0</v>
      </c>
      <c r="AD67">
        <v>0.55000000000000004</v>
      </c>
      <c r="AF67">
        <v>0.08</v>
      </c>
      <c r="AG67">
        <v>299119</v>
      </c>
      <c r="AH67">
        <v>0</v>
      </c>
      <c r="AI67">
        <v>0</v>
      </c>
      <c r="AJ67">
        <v>0</v>
      </c>
      <c r="AK67">
        <v>0</v>
      </c>
      <c r="AL67">
        <v>0.08</v>
      </c>
      <c r="AM67">
        <v>277772</v>
      </c>
      <c r="AN67">
        <v>0</v>
      </c>
      <c r="AO67">
        <v>0</v>
      </c>
      <c r="AP67">
        <v>0</v>
      </c>
      <c r="AQ67">
        <v>0</v>
      </c>
      <c r="AR67">
        <v>0.08</v>
      </c>
      <c r="AS67">
        <v>288321</v>
      </c>
      <c r="AT67">
        <v>0</v>
      </c>
      <c r="AU67">
        <v>0</v>
      </c>
      <c r="AV67">
        <v>0</v>
      </c>
      <c r="AW67">
        <v>0</v>
      </c>
      <c r="BA67">
        <v>1215</v>
      </c>
      <c r="BB67" t="s">
        <v>258</v>
      </c>
      <c r="BC67">
        <v>339.8</v>
      </c>
      <c r="BD67">
        <v>340.8</v>
      </c>
    </row>
    <row r="68" spans="1:56" x14ac:dyDescent="0.25">
      <c r="A68">
        <v>1211</v>
      </c>
      <c r="B68" t="s">
        <v>257</v>
      </c>
      <c r="C68">
        <v>13.270759999999999</v>
      </c>
      <c r="D68">
        <v>1.0502899999999999</v>
      </c>
      <c r="E68">
        <v>0.33</v>
      </c>
      <c r="F68">
        <v>0.54183999999999999</v>
      </c>
      <c r="G68">
        <v>0</v>
      </c>
      <c r="H68">
        <v>0</v>
      </c>
      <c r="I68">
        <v>0.63317999999999997</v>
      </c>
      <c r="J68">
        <v>12.829000000000001</v>
      </c>
      <c r="K68">
        <v>1.21424</v>
      </c>
      <c r="L68">
        <v>0.33</v>
      </c>
      <c r="M68">
        <v>0.4259</v>
      </c>
      <c r="N68">
        <v>0</v>
      </c>
      <c r="O68">
        <v>0</v>
      </c>
      <c r="P68">
        <v>0.61734999999999995</v>
      </c>
      <c r="Q68">
        <v>12.864990000000001</v>
      </c>
      <c r="R68">
        <v>1.19282</v>
      </c>
      <c r="S68">
        <v>0.33</v>
      </c>
      <c r="T68">
        <v>0.57633000000000001</v>
      </c>
      <c r="U68">
        <v>0</v>
      </c>
      <c r="V68">
        <v>0</v>
      </c>
      <c r="W68">
        <v>0.52536000000000005</v>
      </c>
      <c r="X68">
        <v>13.76614</v>
      </c>
      <c r="Y68">
        <v>1.04644</v>
      </c>
      <c r="Z68">
        <v>3.2399999999999998E-2</v>
      </c>
      <c r="AA68">
        <v>0.57530000000000003</v>
      </c>
      <c r="AB68">
        <v>0</v>
      </c>
      <c r="AC68">
        <v>0</v>
      </c>
      <c r="AD68">
        <v>0</v>
      </c>
      <c r="AF68">
        <v>0</v>
      </c>
      <c r="AG68">
        <v>0</v>
      </c>
      <c r="AH68">
        <v>0</v>
      </c>
      <c r="AI68">
        <v>0</v>
      </c>
      <c r="AJ68">
        <v>0.05</v>
      </c>
      <c r="AK68">
        <v>296138</v>
      </c>
      <c r="AL68">
        <v>0</v>
      </c>
      <c r="AM68">
        <v>0</v>
      </c>
      <c r="AN68">
        <v>0</v>
      </c>
      <c r="AO68">
        <v>0</v>
      </c>
      <c r="AP68">
        <v>0.05</v>
      </c>
      <c r="AQ68">
        <v>236941</v>
      </c>
      <c r="AR68">
        <v>0</v>
      </c>
      <c r="AS68">
        <v>0</v>
      </c>
      <c r="AT68">
        <v>0</v>
      </c>
      <c r="AU68">
        <v>0</v>
      </c>
      <c r="AV68">
        <v>0.05</v>
      </c>
      <c r="AW68">
        <v>236018</v>
      </c>
      <c r="BA68">
        <v>1218</v>
      </c>
      <c r="BB68" t="s">
        <v>259</v>
      </c>
      <c r="BC68">
        <v>345</v>
      </c>
      <c r="BD68">
        <v>371</v>
      </c>
    </row>
    <row r="69" spans="1:56" x14ac:dyDescent="0.25">
      <c r="A69">
        <v>1215</v>
      </c>
      <c r="B69" t="s">
        <v>258</v>
      </c>
      <c r="C69">
        <v>10.8757</v>
      </c>
      <c r="D69">
        <v>0.95577000000000001</v>
      </c>
      <c r="E69">
        <v>0.33</v>
      </c>
      <c r="F69">
        <v>0.75194000000000005</v>
      </c>
      <c r="G69">
        <v>0</v>
      </c>
      <c r="H69">
        <v>0</v>
      </c>
      <c r="I69">
        <v>0</v>
      </c>
      <c r="J69">
        <v>11.40605</v>
      </c>
      <c r="K69">
        <v>1.7761499999999999</v>
      </c>
      <c r="L69">
        <v>0.33</v>
      </c>
      <c r="M69">
        <v>0.3906</v>
      </c>
      <c r="N69">
        <v>0</v>
      </c>
      <c r="O69">
        <v>0</v>
      </c>
      <c r="P69">
        <v>0</v>
      </c>
      <c r="Q69">
        <v>14.39823</v>
      </c>
      <c r="R69">
        <v>1.23861</v>
      </c>
      <c r="S69">
        <v>0.33</v>
      </c>
      <c r="T69">
        <v>0.43961</v>
      </c>
      <c r="U69">
        <v>0</v>
      </c>
      <c r="V69">
        <v>0</v>
      </c>
      <c r="W69">
        <v>0</v>
      </c>
      <c r="X69">
        <v>15.182270000000001</v>
      </c>
      <c r="Y69">
        <v>1.1691800000000001</v>
      </c>
      <c r="Z69">
        <v>0</v>
      </c>
      <c r="AA69">
        <v>0.42836000000000002</v>
      </c>
      <c r="AB69">
        <v>0</v>
      </c>
      <c r="AC69">
        <v>0</v>
      </c>
      <c r="AD69">
        <v>0</v>
      </c>
      <c r="AF69">
        <v>0.09</v>
      </c>
      <c r="AG69">
        <v>144322</v>
      </c>
      <c r="AH69">
        <v>0</v>
      </c>
      <c r="AI69">
        <v>0</v>
      </c>
      <c r="AJ69">
        <v>0.05</v>
      </c>
      <c r="AK69">
        <v>80179</v>
      </c>
      <c r="AL69">
        <v>0.1</v>
      </c>
      <c r="AM69">
        <v>145385</v>
      </c>
      <c r="AN69">
        <v>0</v>
      </c>
      <c r="AO69">
        <v>0</v>
      </c>
      <c r="AP69">
        <v>0.05</v>
      </c>
      <c r="AQ69">
        <v>72693</v>
      </c>
      <c r="AR69">
        <v>0.1</v>
      </c>
      <c r="AS69">
        <v>144249</v>
      </c>
      <c r="AT69">
        <v>0</v>
      </c>
      <c r="AU69">
        <v>0</v>
      </c>
      <c r="AV69">
        <v>0.05</v>
      </c>
      <c r="AW69">
        <v>72125</v>
      </c>
      <c r="BA69">
        <v>2763</v>
      </c>
      <c r="BB69" t="s">
        <v>260</v>
      </c>
      <c r="BC69">
        <v>628.79999999999995</v>
      </c>
      <c r="BD69">
        <v>621.1</v>
      </c>
    </row>
    <row r="70" spans="1:56" x14ac:dyDescent="0.25">
      <c r="A70">
        <v>1218</v>
      </c>
      <c r="B70" t="s">
        <v>259</v>
      </c>
      <c r="C70">
        <v>8.4942399999999996</v>
      </c>
      <c r="D70">
        <v>2.2871199999999998</v>
      </c>
      <c r="E70">
        <v>0.33</v>
      </c>
      <c r="F70">
        <v>0</v>
      </c>
      <c r="G70">
        <v>0</v>
      </c>
      <c r="H70">
        <v>0</v>
      </c>
      <c r="I70">
        <v>0</v>
      </c>
      <c r="J70">
        <v>12.981019999999999</v>
      </c>
      <c r="K70">
        <v>0.83994999999999997</v>
      </c>
      <c r="L70">
        <v>0.33</v>
      </c>
      <c r="M70">
        <v>0</v>
      </c>
      <c r="N70">
        <v>0</v>
      </c>
      <c r="O70">
        <v>0</v>
      </c>
      <c r="P70">
        <v>0</v>
      </c>
      <c r="Q70">
        <v>13.15631</v>
      </c>
      <c r="R70">
        <v>0.87563999999999997</v>
      </c>
      <c r="S70">
        <v>0.33</v>
      </c>
      <c r="T70">
        <v>0</v>
      </c>
      <c r="U70">
        <v>0</v>
      </c>
      <c r="V70">
        <v>0</v>
      </c>
      <c r="W70">
        <v>0</v>
      </c>
      <c r="X70">
        <v>14.028740000000001</v>
      </c>
      <c r="Y70">
        <v>0.91788000000000003</v>
      </c>
      <c r="Z70">
        <v>0.33</v>
      </c>
      <c r="AA70">
        <v>0</v>
      </c>
      <c r="AB70">
        <v>0</v>
      </c>
      <c r="AC70">
        <v>0</v>
      </c>
      <c r="AD70">
        <v>0</v>
      </c>
      <c r="AF70">
        <v>0.05</v>
      </c>
      <c r="AG70">
        <v>98322</v>
      </c>
      <c r="AH70">
        <v>0</v>
      </c>
      <c r="AI70">
        <v>0</v>
      </c>
      <c r="AJ70">
        <v>0</v>
      </c>
      <c r="AK70">
        <v>0</v>
      </c>
      <c r="AL70">
        <v>0.05</v>
      </c>
      <c r="AM70">
        <v>92093</v>
      </c>
      <c r="AN70">
        <v>0</v>
      </c>
      <c r="AO70">
        <v>0</v>
      </c>
      <c r="AP70">
        <v>0</v>
      </c>
      <c r="AQ70">
        <v>0</v>
      </c>
      <c r="AR70">
        <v>0.05</v>
      </c>
      <c r="AS70">
        <v>94812</v>
      </c>
      <c r="AT70">
        <v>0</v>
      </c>
      <c r="AU70">
        <v>0</v>
      </c>
      <c r="AV70">
        <v>0</v>
      </c>
      <c r="AW70">
        <v>0</v>
      </c>
      <c r="BA70">
        <v>1221</v>
      </c>
      <c r="BB70" t="s">
        <v>602</v>
      </c>
      <c r="BC70">
        <v>1671.3</v>
      </c>
      <c r="BD70">
        <v>1797.6</v>
      </c>
    </row>
    <row r="71" spans="1:56" x14ac:dyDescent="0.25">
      <c r="A71">
        <v>1221</v>
      </c>
      <c r="B71" t="s">
        <v>602</v>
      </c>
      <c r="C71">
        <v>9.2061700000000002</v>
      </c>
      <c r="D71">
        <v>0.91652999999999996</v>
      </c>
      <c r="E71">
        <v>0.33</v>
      </c>
      <c r="F71">
        <v>0.56245999999999996</v>
      </c>
      <c r="G71">
        <v>0</v>
      </c>
      <c r="H71">
        <v>0</v>
      </c>
      <c r="I71">
        <v>4.05</v>
      </c>
      <c r="J71">
        <v>8.8166200000000003</v>
      </c>
      <c r="K71">
        <v>1.7031799999999999</v>
      </c>
      <c r="L71">
        <v>0.33</v>
      </c>
      <c r="M71">
        <v>0.37458999999999998</v>
      </c>
      <c r="N71">
        <v>0</v>
      </c>
      <c r="O71">
        <v>0</v>
      </c>
      <c r="P71">
        <v>3.8861599999999998</v>
      </c>
      <c r="Q71">
        <v>9.9197199999999999</v>
      </c>
      <c r="R71">
        <v>1.76248</v>
      </c>
      <c r="S71">
        <v>0.33</v>
      </c>
      <c r="T71">
        <v>0.38020999999999999</v>
      </c>
      <c r="U71">
        <v>0</v>
      </c>
      <c r="V71">
        <v>0</v>
      </c>
      <c r="W71">
        <v>2.9182199999999998</v>
      </c>
      <c r="X71">
        <v>11.13247</v>
      </c>
      <c r="Y71">
        <v>1.0052700000000001</v>
      </c>
      <c r="Z71">
        <v>0.33</v>
      </c>
      <c r="AA71">
        <v>0.37467</v>
      </c>
      <c r="AB71">
        <v>0</v>
      </c>
      <c r="AC71">
        <v>0</v>
      </c>
      <c r="AD71">
        <v>2.70635</v>
      </c>
      <c r="AF71">
        <v>0.05</v>
      </c>
      <c r="AG71">
        <v>475762</v>
      </c>
      <c r="AH71">
        <v>0</v>
      </c>
      <c r="AI71">
        <v>0</v>
      </c>
      <c r="AJ71">
        <v>0.03</v>
      </c>
      <c r="AK71">
        <v>285457</v>
      </c>
      <c r="AL71">
        <v>0.02</v>
      </c>
      <c r="AM71">
        <v>179134</v>
      </c>
      <c r="AN71">
        <v>0</v>
      </c>
      <c r="AO71">
        <v>0</v>
      </c>
      <c r="AP71">
        <v>0.03</v>
      </c>
      <c r="AQ71">
        <v>268701</v>
      </c>
      <c r="AR71">
        <v>7.0000000000000007E-2</v>
      </c>
      <c r="AS71">
        <v>602730</v>
      </c>
      <c r="AT71">
        <v>0</v>
      </c>
      <c r="AU71">
        <v>0</v>
      </c>
      <c r="AV71">
        <v>0.03</v>
      </c>
      <c r="AW71">
        <v>258313</v>
      </c>
      <c r="BA71">
        <v>1233</v>
      </c>
      <c r="BB71" t="s">
        <v>262</v>
      </c>
      <c r="BC71">
        <v>1263.4000000000001</v>
      </c>
      <c r="BD71">
        <v>1236.7</v>
      </c>
    </row>
    <row r="72" spans="1:56" x14ac:dyDescent="0.25">
      <c r="A72">
        <v>1233</v>
      </c>
      <c r="B72" t="s">
        <v>262</v>
      </c>
      <c r="C72">
        <v>8.60154</v>
      </c>
      <c r="D72">
        <v>1.0930800000000001</v>
      </c>
      <c r="E72">
        <v>0.33</v>
      </c>
      <c r="F72">
        <v>0.67</v>
      </c>
      <c r="G72">
        <v>0</v>
      </c>
      <c r="H72">
        <v>0</v>
      </c>
      <c r="I72">
        <v>0.78869</v>
      </c>
      <c r="J72">
        <v>9.5621200000000002</v>
      </c>
      <c r="K72">
        <v>0.86373999999999995</v>
      </c>
      <c r="L72">
        <v>0.33</v>
      </c>
      <c r="M72">
        <v>0.67</v>
      </c>
      <c r="N72">
        <v>0</v>
      </c>
      <c r="O72">
        <v>0</v>
      </c>
      <c r="P72">
        <v>0.81323000000000001</v>
      </c>
      <c r="Q72">
        <v>10.211040000000001</v>
      </c>
      <c r="R72">
        <v>0.83238000000000001</v>
      </c>
      <c r="S72">
        <v>0.33</v>
      </c>
      <c r="T72">
        <v>0.67</v>
      </c>
      <c r="U72">
        <v>0</v>
      </c>
      <c r="V72">
        <v>0</v>
      </c>
      <c r="W72">
        <v>0.87309999999999999</v>
      </c>
      <c r="X72">
        <v>10.354200000000001</v>
      </c>
      <c r="Y72">
        <v>0.66917000000000004</v>
      </c>
      <c r="Z72">
        <v>0.33</v>
      </c>
      <c r="AA72">
        <v>0.67</v>
      </c>
      <c r="AB72">
        <v>0</v>
      </c>
      <c r="AC72">
        <v>0</v>
      </c>
      <c r="AD72">
        <v>0.89942</v>
      </c>
      <c r="AF72">
        <v>0.05</v>
      </c>
      <c r="AG72">
        <v>479968</v>
      </c>
      <c r="AH72">
        <v>0</v>
      </c>
      <c r="AI72">
        <v>0</v>
      </c>
      <c r="AJ72">
        <v>0</v>
      </c>
      <c r="AK72">
        <v>0</v>
      </c>
      <c r="AL72">
        <v>0.05</v>
      </c>
      <c r="AM72">
        <v>438483</v>
      </c>
      <c r="AN72">
        <v>0</v>
      </c>
      <c r="AO72">
        <v>0</v>
      </c>
      <c r="AP72">
        <v>0</v>
      </c>
      <c r="AQ72">
        <v>0</v>
      </c>
      <c r="AR72">
        <v>0.05</v>
      </c>
      <c r="AS72">
        <v>429866</v>
      </c>
      <c r="AT72">
        <v>0</v>
      </c>
      <c r="AU72">
        <v>0</v>
      </c>
      <c r="AV72">
        <v>0</v>
      </c>
      <c r="AW72">
        <v>0</v>
      </c>
      <c r="BA72">
        <v>1278</v>
      </c>
      <c r="BB72" t="s">
        <v>264</v>
      </c>
      <c r="BC72">
        <v>3965.5</v>
      </c>
      <c r="BD72">
        <v>3859.5</v>
      </c>
    </row>
    <row r="73" spans="1:56" x14ac:dyDescent="0.25">
      <c r="A73">
        <v>1278</v>
      </c>
      <c r="B73" t="s">
        <v>264</v>
      </c>
      <c r="C73">
        <v>14.839079999999999</v>
      </c>
      <c r="D73">
        <v>0.79681000000000002</v>
      </c>
      <c r="E73">
        <v>0.33</v>
      </c>
      <c r="F73">
        <v>0</v>
      </c>
      <c r="G73">
        <v>0</v>
      </c>
      <c r="H73">
        <v>0</v>
      </c>
      <c r="I73">
        <v>0.75122</v>
      </c>
      <c r="J73">
        <v>14.79162</v>
      </c>
      <c r="K73">
        <v>0.68491000000000002</v>
      </c>
      <c r="L73">
        <v>0.33</v>
      </c>
      <c r="M73">
        <v>0</v>
      </c>
      <c r="N73">
        <v>0</v>
      </c>
      <c r="O73">
        <v>0</v>
      </c>
      <c r="P73">
        <v>0.72253000000000001</v>
      </c>
      <c r="Q73">
        <v>14.969799999999999</v>
      </c>
      <c r="R73">
        <v>0.57972999999999997</v>
      </c>
      <c r="S73">
        <v>0.33</v>
      </c>
      <c r="T73">
        <v>0</v>
      </c>
      <c r="U73">
        <v>0</v>
      </c>
      <c r="V73">
        <v>0</v>
      </c>
      <c r="W73">
        <v>0.75219999999999998</v>
      </c>
      <c r="X73">
        <v>15.074</v>
      </c>
      <c r="Y73">
        <v>0.66142000000000001</v>
      </c>
      <c r="Z73">
        <v>0.33</v>
      </c>
      <c r="AA73">
        <v>0</v>
      </c>
      <c r="AB73">
        <v>0</v>
      </c>
      <c r="AC73">
        <v>0</v>
      </c>
      <c r="AD73">
        <v>0.72316000000000003</v>
      </c>
      <c r="AF73">
        <v>0.09</v>
      </c>
      <c r="AG73">
        <v>1606339</v>
      </c>
      <c r="AH73">
        <v>0</v>
      </c>
      <c r="AI73">
        <v>0</v>
      </c>
      <c r="AJ73">
        <v>0</v>
      </c>
      <c r="AK73">
        <v>0</v>
      </c>
      <c r="AL73">
        <v>0.09</v>
      </c>
      <c r="AM73">
        <v>1540007</v>
      </c>
      <c r="AN73">
        <v>0</v>
      </c>
      <c r="AO73">
        <v>0</v>
      </c>
      <c r="AP73">
        <v>0</v>
      </c>
      <c r="AQ73">
        <v>0</v>
      </c>
      <c r="AR73">
        <v>0.09</v>
      </c>
      <c r="AS73">
        <v>1574573</v>
      </c>
      <c r="AT73">
        <v>0</v>
      </c>
      <c r="AU73">
        <v>0</v>
      </c>
      <c r="AV73">
        <v>0</v>
      </c>
      <c r="AW73">
        <v>0</v>
      </c>
      <c r="BA73">
        <v>1332</v>
      </c>
      <c r="BB73" t="s">
        <v>265</v>
      </c>
      <c r="BC73">
        <v>731.5</v>
      </c>
      <c r="BD73">
        <v>742.6</v>
      </c>
    </row>
    <row r="74" spans="1:56" x14ac:dyDescent="0.25">
      <c r="A74">
        <v>1332</v>
      </c>
      <c r="B74" t="s">
        <v>265</v>
      </c>
      <c r="C74">
        <v>11.87388</v>
      </c>
      <c r="D74">
        <v>0.90998999999999997</v>
      </c>
      <c r="E74">
        <v>0.33</v>
      </c>
      <c r="F74">
        <v>0.67</v>
      </c>
      <c r="G74">
        <v>0</v>
      </c>
      <c r="H74">
        <v>0</v>
      </c>
      <c r="I74">
        <v>2.9668199999999998</v>
      </c>
      <c r="J74">
        <v>12.111230000000001</v>
      </c>
      <c r="K74">
        <v>0.88695999999999997</v>
      </c>
      <c r="L74">
        <v>0.33</v>
      </c>
      <c r="M74">
        <v>0.67</v>
      </c>
      <c r="N74">
        <v>0</v>
      </c>
      <c r="O74">
        <v>0</v>
      </c>
      <c r="P74">
        <v>2.9321100000000002</v>
      </c>
      <c r="Q74">
        <v>13.069240000000001</v>
      </c>
      <c r="R74">
        <v>0.91047999999999996</v>
      </c>
      <c r="S74">
        <v>0.33</v>
      </c>
      <c r="T74">
        <v>0</v>
      </c>
      <c r="U74">
        <v>0</v>
      </c>
      <c r="V74">
        <v>0</v>
      </c>
      <c r="W74">
        <v>3.0356100000000001</v>
      </c>
      <c r="X74">
        <v>13.711880000000001</v>
      </c>
      <c r="Y74">
        <v>1.25962</v>
      </c>
      <c r="Z74">
        <v>0.33</v>
      </c>
      <c r="AA74">
        <v>0</v>
      </c>
      <c r="AB74">
        <v>0</v>
      </c>
      <c r="AC74">
        <v>0</v>
      </c>
      <c r="AD74">
        <v>3.1053199999999999</v>
      </c>
      <c r="AF74">
        <v>0.09</v>
      </c>
      <c r="AG74">
        <v>307628</v>
      </c>
      <c r="AH74">
        <v>0</v>
      </c>
      <c r="AI74">
        <v>0</v>
      </c>
      <c r="AJ74">
        <v>0</v>
      </c>
      <c r="AK74">
        <v>0</v>
      </c>
      <c r="AL74">
        <v>0.09</v>
      </c>
      <c r="AM74">
        <v>287479</v>
      </c>
      <c r="AN74">
        <v>0</v>
      </c>
      <c r="AO74">
        <v>0</v>
      </c>
      <c r="AP74">
        <v>0</v>
      </c>
      <c r="AQ74">
        <v>0</v>
      </c>
      <c r="AR74">
        <v>0.09</v>
      </c>
      <c r="AS74">
        <v>308630</v>
      </c>
      <c r="AT74">
        <v>0</v>
      </c>
      <c r="AU74">
        <v>0</v>
      </c>
      <c r="AV74">
        <v>0</v>
      </c>
      <c r="AW74">
        <v>0</v>
      </c>
      <c r="BA74">
        <v>1337</v>
      </c>
      <c r="BB74" t="s">
        <v>266</v>
      </c>
      <c r="BC74">
        <v>4568</v>
      </c>
      <c r="BD74">
        <v>4685.3</v>
      </c>
    </row>
    <row r="75" spans="1:56" x14ac:dyDescent="0.25">
      <c r="A75">
        <v>1337</v>
      </c>
      <c r="B75" t="s">
        <v>266</v>
      </c>
      <c r="C75">
        <v>10.14171</v>
      </c>
      <c r="D75">
        <v>0.83425000000000005</v>
      </c>
      <c r="E75">
        <v>0.33</v>
      </c>
      <c r="F75">
        <v>0.67</v>
      </c>
      <c r="G75">
        <v>0</v>
      </c>
      <c r="H75">
        <v>0</v>
      </c>
      <c r="I75">
        <v>2.8274599999999999</v>
      </c>
      <c r="J75">
        <v>10.28342</v>
      </c>
      <c r="K75">
        <v>0.81611999999999996</v>
      </c>
      <c r="L75">
        <v>0.33</v>
      </c>
      <c r="M75">
        <v>0.67</v>
      </c>
      <c r="N75">
        <v>0</v>
      </c>
      <c r="O75">
        <v>0</v>
      </c>
      <c r="P75">
        <v>2.9843299999999999</v>
      </c>
      <c r="Q75">
        <v>11.734310000000001</v>
      </c>
      <c r="R75">
        <v>0.77893999999999997</v>
      </c>
      <c r="S75">
        <v>0.33</v>
      </c>
      <c r="T75">
        <v>0.67</v>
      </c>
      <c r="U75">
        <v>0</v>
      </c>
      <c r="V75">
        <v>0</v>
      </c>
      <c r="W75">
        <v>2.2898299999999998</v>
      </c>
      <c r="X75">
        <v>12.79871</v>
      </c>
      <c r="Y75">
        <v>0.77478999999999998</v>
      </c>
      <c r="Z75">
        <v>0.33</v>
      </c>
      <c r="AA75">
        <v>0.67</v>
      </c>
      <c r="AB75">
        <v>0</v>
      </c>
      <c r="AC75">
        <v>0</v>
      </c>
      <c r="AD75">
        <v>1.98438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BA75">
        <v>1350</v>
      </c>
      <c r="BB75" t="s">
        <v>267</v>
      </c>
      <c r="BC75">
        <v>470</v>
      </c>
      <c r="BD75">
        <v>487.8</v>
      </c>
    </row>
    <row r="76" spans="1:56" x14ac:dyDescent="0.25">
      <c r="A76">
        <v>1350</v>
      </c>
      <c r="B76" t="s">
        <v>267</v>
      </c>
      <c r="C76">
        <v>10.859529999999999</v>
      </c>
      <c r="D76">
        <v>2.54115</v>
      </c>
      <c r="E76">
        <v>0.33</v>
      </c>
      <c r="F76">
        <v>0.67</v>
      </c>
      <c r="G76">
        <v>0</v>
      </c>
      <c r="H76">
        <v>0</v>
      </c>
      <c r="I76">
        <v>0.83050000000000002</v>
      </c>
      <c r="J76">
        <v>11.49944</v>
      </c>
      <c r="K76">
        <v>0</v>
      </c>
      <c r="L76">
        <v>0.33</v>
      </c>
      <c r="M76">
        <v>0.67</v>
      </c>
      <c r="N76">
        <v>0</v>
      </c>
      <c r="O76">
        <v>0</v>
      </c>
      <c r="P76">
        <v>2.3592599999999999</v>
      </c>
      <c r="Q76">
        <v>10.93496</v>
      </c>
      <c r="R76">
        <v>0</v>
      </c>
      <c r="S76">
        <v>0.33</v>
      </c>
      <c r="T76">
        <v>0.67</v>
      </c>
      <c r="U76">
        <v>0</v>
      </c>
      <c r="V76">
        <v>0</v>
      </c>
      <c r="W76">
        <v>2.9422600000000001</v>
      </c>
      <c r="X76">
        <v>11.414809999999999</v>
      </c>
      <c r="Y76">
        <v>1.1457999999999999</v>
      </c>
      <c r="Z76">
        <v>0.33</v>
      </c>
      <c r="AA76">
        <v>0.67</v>
      </c>
      <c r="AB76">
        <v>0</v>
      </c>
      <c r="AC76">
        <v>0</v>
      </c>
      <c r="AD76">
        <v>1.3113600000000001</v>
      </c>
      <c r="AF76">
        <v>0.05</v>
      </c>
      <c r="AG76">
        <v>114870</v>
      </c>
      <c r="AH76">
        <v>0</v>
      </c>
      <c r="AI76">
        <v>0</v>
      </c>
      <c r="AJ76">
        <v>0</v>
      </c>
      <c r="AK76">
        <v>0</v>
      </c>
      <c r="AL76">
        <v>0.05</v>
      </c>
      <c r="AM76">
        <v>111956</v>
      </c>
      <c r="AN76">
        <v>0</v>
      </c>
      <c r="AO76">
        <v>0</v>
      </c>
      <c r="AP76">
        <v>0</v>
      </c>
      <c r="AQ76">
        <v>0</v>
      </c>
      <c r="AR76">
        <v>0.05</v>
      </c>
      <c r="AS76">
        <v>118423</v>
      </c>
      <c r="AT76">
        <v>0</v>
      </c>
      <c r="AU76">
        <v>0</v>
      </c>
      <c r="AV76">
        <v>0</v>
      </c>
      <c r="AW76">
        <v>0</v>
      </c>
      <c r="BA76">
        <v>1359</v>
      </c>
      <c r="BB76" t="s">
        <v>268</v>
      </c>
      <c r="BC76">
        <v>500.4</v>
      </c>
      <c r="BD76">
        <v>528</v>
      </c>
    </row>
    <row r="77" spans="1:56" x14ac:dyDescent="0.25">
      <c r="A77">
        <v>1359</v>
      </c>
      <c r="B77" t="s">
        <v>268</v>
      </c>
      <c r="C77">
        <v>12.56189</v>
      </c>
      <c r="D77">
        <v>0.87739</v>
      </c>
      <c r="E77">
        <v>0.33</v>
      </c>
      <c r="F77">
        <v>1.34</v>
      </c>
      <c r="G77">
        <v>0</v>
      </c>
      <c r="H77">
        <v>0</v>
      </c>
      <c r="I77">
        <v>0</v>
      </c>
      <c r="J77">
        <v>11.95106</v>
      </c>
      <c r="K77">
        <v>0.45269999999999999</v>
      </c>
      <c r="L77">
        <v>0.33</v>
      </c>
      <c r="M77">
        <v>1.34</v>
      </c>
      <c r="N77">
        <v>0</v>
      </c>
      <c r="O77">
        <v>0</v>
      </c>
      <c r="P77">
        <v>0</v>
      </c>
      <c r="Q77">
        <v>11.916090000000001</v>
      </c>
      <c r="R77">
        <v>0.51666999999999996</v>
      </c>
      <c r="S77">
        <v>0.33</v>
      </c>
      <c r="T77">
        <v>1.34</v>
      </c>
      <c r="U77">
        <v>0</v>
      </c>
      <c r="V77">
        <v>0</v>
      </c>
      <c r="W77">
        <v>0</v>
      </c>
      <c r="X77">
        <v>11.881030000000001</v>
      </c>
      <c r="Y77">
        <v>0.53876000000000002</v>
      </c>
      <c r="Z77">
        <v>0.33</v>
      </c>
      <c r="AA77">
        <v>0</v>
      </c>
      <c r="AB77">
        <v>0</v>
      </c>
      <c r="AC77">
        <v>0</v>
      </c>
      <c r="AD77">
        <v>0</v>
      </c>
      <c r="AF77">
        <v>0.08</v>
      </c>
      <c r="AG77">
        <v>203908</v>
      </c>
      <c r="AH77">
        <v>0</v>
      </c>
      <c r="AI77">
        <v>0</v>
      </c>
      <c r="AJ77">
        <v>0</v>
      </c>
      <c r="AK77">
        <v>0</v>
      </c>
      <c r="AL77">
        <v>0.08</v>
      </c>
      <c r="AM77">
        <v>189474</v>
      </c>
      <c r="AN77">
        <v>0</v>
      </c>
      <c r="AO77">
        <v>0</v>
      </c>
      <c r="AP77">
        <v>0</v>
      </c>
      <c r="AQ77">
        <v>0</v>
      </c>
      <c r="AR77">
        <v>0.08</v>
      </c>
      <c r="AS77">
        <v>189445</v>
      </c>
      <c r="AT77">
        <v>0</v>
      </c>
      <c r="AU77">
        <v>0</v>
      </c>
      <c r="AV77">
        <v>0</v>
      </c>
      <c r="AW77">
        <v>0</v>
      </c>
      <c r="BA77">
        <v>1368</v>
      </c>
      <c r="BB77" t="s">
        <v>269</v>
      </c>
      <c r="BC77">
        <v>826.2</v>
      </c>
      <c r="BD77">
        <v>815.6</v>
      </c>
    </row>
    <row r="78" spans="1:56" x14ac:dyDescent="0.25">
      <c r="A78">
        <v>1368</v>
      </c>
      <c r="B78" t="s">
        <v>269</v>
      </c>
      <c r="C78">
        <v>13.14709</v>
      </c>
      <c r="D78">
        <v>1.1497900000000001</v>
      </c>
      <c r="E78">
        <v>0.33</v>
      </c>
      <c r="F78">
        <v>0.67</v>
      </c>
      <c r="G78">
        <v>0.13500000000000001</v>
      </c>
      <c r="H78">
        <v>0</v>
      </c>
      <c r="I78">
        <v>1.6382699999999999</v>
      </c>
      <c r="J78">
        <v>14.510479999999999</v>
      </c>
      <c r="K78">
        <v>0.66822999999999999</v>
      </c>
      <c r="L78">
        <v>0.33</v>
      </c>
      <c r="M78">
        <v>0.67</v>
      </c>
      <c r="N78">
        <v>0.13500000000000001</v>
      </c>
      <c r="O78">
        <v>0</v>
      </c>
      <c r="P78">
        <v>1.5807500000000001</v>
      </c>
      <c r="Q78">
        <v>14.55151</v>
      </c>
      <c r="R78">
        <v>0.50239999999999996</v>
      </c>
      <c r="S78">
        <v>0.33</v>
      </c>
      <c r="T78">
        <v>0.67</v>
      </c>
      <c r="U78">
        <v>0.13500000000000001</v>
      </c>
      <c r="V78">
        <v>0</v>
      </c>
      <c r="W78">
        <v>1.5379400000000001</v>
      </c>
      <c r="X78">
        <v>14.13524</v>
      </c>
      <c r="Y78">
        <v>0.40000999999999998</v>
      </c>
      <c r="Z78">
        <v>0.33</v>
      </c>
      <c r="AA78">
        <v>0.67</v>
      </c>
      <c r="AB78">
        <v>0.13500000000000001</v>
      </c>
      <c r="AC78">
        <v>0</v>
      </c>
      <c r="AD78">
        <v>1.53871</v>
      </c>
      <c r="AF78">
        <v>0.13</v>
      </c>
      <c r="AG78">
        <v>378368</v>
      </c>
      <c r="AH78">
        <v>0</v>
      </c>
      <c r="AI78">
        <v>0</v>
      </c>
      <c r="AJ78">
        <v>0</v>
      </c>
      <c r="AK78">
        <v>0</v>
      </c>
      <c r="AL78">
        <v>0.13</v>
      </c>
      <c r="AM78">
        <v>381716</v>
      </c>
      <c r="AN78">
        <v>0</v>
      </c>
      <c r="AO78">
        <v>0</v>
      </c>
      <c r="AP78">
        <v>0</v>
      </c>
      <c r="AQ78">
        <v>0</v>
      </c>
      <c r="AR78">
        <v>0.15</v>
      </c>
      <c r="AS78">
        <v>412343</v>
      </c>
      <c r="AT78">
        <v>0</v>
      </c>
      <c r="AU78">
        <v>0</v>
      </c>
      <c r="AV78">
        <v>0</v>
      </c>
      <c r="AW78">
        <v>0</v>
      </c>
      <c r="BA78">
        <v>1413</v>
      </c>
      <c r="BB78" t="s">
        <v>270</v>
      </c>
      <c r="BC78">
        <v>393.6</v>
      </c>
      <c r="BD78">
        <v>401.1</v>
      </c>
    </row>
    <row r="79" spans="1:56" x14ac:dyDescent="0.25">
      <c r="A79">
        <v>1413</v>
      </c>
      <c r="B79" t="s">
        <v>270</v>
      </c>
      <c r="C79">
        <v>10.018359999999999</v>
      </c>
      <c r="D79">
        <v>0.61165000000000003</v>
      </c>
      <c r="E79">
        <v>0.33</v>
      </c>
      <c r="F79">
        <v>1.34</v>
      </c>
      <c r="G79">
        <v>0</v>
      </c>
      <c r="H79">
        <v>0</v>
      </c>
      <c r="I79">
        <v>0</v>
      </c>
      <c r="J79">
        <v>10.59309</v>
      </c>
      <c r="K79">
        <v>0.62360000000000004</v>
      </c>
      <c r="L79">
        <v>0.33</v>
      </c>
      <c r="M79">
        <v>1.34</v>
      </c>
      <c r="N79">
        <v>0</v>
      </c>
      <c r="O79">
        <v>0</v>
      </c>
      <c r="P79">
        <v>0</v>
      </c>
      <c r="Q79">
        <v>9.8769600000000004</v>
      </c>
      <c r="R79">
        <v>0.63951000000000002</v>
      </c>
      <c r="S79">
        <v>0.33</v>
      </c>
      <c r="T79">
        <v>1.34</v>
      </c>
      <c r="U79">
        <v>0</v>
      </c>
      <c r="V79">
        <v>0</v>
      </c>
      <c r="W79">
        <v>0</v>
      </c>
      <c r="X79">
        <v>12.711029999999999</v>
      </c>
      <c r="Y79">
        <v>0.62771999999999994</v>
      </c>
      <c r="Z79">
        <v>0.33</v>
      </c>
      <c r="AA79">
        <v>1.34</v>
      </c>
      <c r="AB79">
        <v>0</v>
      </c>
      <c r="AC79">
        <v>0</v>
      </c>
      <c r="AD79">
        <v>0</v>
      </c>
      <c r="AF79">
        <v>7.0000000000000007E-2</v>
      </c>
      <c r="AG79">
        <v>119015</v>
      </c>
      <c r="AH79">
        <v>0</v>
      </c>
      <c r="AI79">
        <v>0</v>
      </c>
      <c r="AJ79">
        <v>0</v>
      </c>
      <c r="AK79">
        <v>0</v>
      </c>
      <c r="AL79">
        <v>7.0000000000000007E-2</v>
      </c>
      <c r="AM79">
        <v>113966</v>
      </c>
      <c r="AN79">
        <v>0</v>
      </c>
      <c r="AO79">
        <v>0</v>
      </c>
      <c r="AP79">
        <v>0</v>
      </c>
      <c r="AQ79">
        <v>0</v>
      </c>
      <c r="AR79">
        <v>7.0000000000000007E-2</v>
      </c>
      <c r="AS79">
        <v>114366</v>
      </c>
      <c r="AT79">
        <v>0</v>
      </c>
      <c r="AU79">
        <v>0</v>
      </c>
      <c r="AV79">
        <v>0</v>
      </c>
      <c r="AW79">
        <v>0</v>
      </c>
      <c r="BA79">
        <v>1431</v>
      </c>
      <c r="BB79" t="s">
        <v>271</v>
      </c>
      <c r="BC79">
        <v>422</v>
      </c>
      <c r="BD79">
        <v>417.9</v>
      </c>
    </row>
    <row r="80" spans="1:56" x14ac:dyDescent="0.25">
      <c r="A80">
        <v>1431</v>
      </c>
      <c r="B80" t="s">
        <v>271</v>
      </c>
      <c r="C80">
        <v>10.77322</v>
      </c>
      <c r="D80">
        <v>0.33428999999999998</v>
      </c>
      <c r="E80">
        <v>0.33</v>
      </c>
      <c r="F80">
        <v>0.67</v>
      </c>
      <c r="G80">
        <v>0</v>
      </c>
      <c r="H80">
        <v>0</v>
      </c>
      <c r="I80">
        <v>2.6831200000000002</v>
      </c>
      <c r="J80">
        <v>10.182779999999999</v>
      </c>
      <c r="K80">
        <v>1.3095600000000001</v>
      </c>
      <c r="L80">
        <v>0.33</v>
      </c>
      <c r="M80">
        <v>0.67</v>
      </c>
      <c r="N80">
        <v>0</v>
      </c>
      <c r="O80">
        <v>0</v>
      </c>
      <c r="P80">
        <v>2.2654200000000002</v>
      </c>
      <c r="Q80">
        <v>11.622769999999999</v>
      </c>
      <c r="R80">
        <v>0.62966999999999995</v>
      </c>
      <c r="S80">
        <v>0.33</v>
      </c>
      <c r="T80">
        <v>0.67</v>
      </c>
      <c r="U80">
        <v>0</v>
      </c>
      <c r="V80">
        <v>0</v>
      </c>
      <c r="W80">
        <v>1.5116099999999999</v>
      </c>
      <c r="X80">
        <v>11.52853</v>
      </c>
      <c r="Y80">
        <v>0.62682000000000004</v>
      </c>
      <c r="Z80">
        <v>0.33</v>
      </c>
      <c r="AA80">
        <v>0.67</v>
      </c>
      <c r="AB80">
        <v>0</v>
      </c>
      <c r="AC80">
        <v>0</v>
      </c>
      <c r="AD80">
        <v>1.6173999999999999</v>
      </c>
      <c r="AF80">
        <v>0.05</v>
      </c>
      <c r="AG80">
        <v>96959</v>
      </c>
      <c r="AH80">
        <v>0</v>
      </c>
      <c r="AI80">
        <v>0</v>
      </c>
      <c r="AJ80">
        <v>0</v>
      </c>
      <c r="AK80">
        <v>0</v>
      </c>
      <c r="AL80">
        <v>0.05</v>
      </c>
      <c r="AM80">
        <v>93247</v>
      </c>
      <c r="AN80">
        <v>0</v>
      </c>
      <c r="AO80">
        <v>0</v>
      </c>
      <c r="AP80">
        <v>0</v>
      </c>
      <c r="AQ80">
        <v>0</v>
      </c>
      <c r="AR80">
        <v>0.05</v>
      </c>
      <c r="AS80">
        <v>87169</v>
      </c>
      <c r="AT80">
        <v>0</v>
      </c>
      <c r="AU80">
        <v>0</v>
      </c>
      <c r="AV80">
        <v>0</v>
      </c>
      <c r="AW80">
        <v>0</v>
      </c>
      <c r="BA80">
        <v>1476</v>
      </c>
      <c r="BB80" t="s">
        <v>273</v>
      </c>
      <c r="BC80">
        <v>8944.6</v>
      </c>
      <c r="BD80">
        <v>8995.9</v>
      </c>
    </row>
    <row r="81" spans="1:56" x14ac:dyDescent="0.25">
      <c r="A81">
        <v>1476</v>
      </c>
      <c r="B81" t="s">
        <v>273</v>
      </c>
      <c r="C81">
        <v>14.59266</v>
      </c>
      <c r="D81">
        <v>0.98409999999999997</v>
      </c>
      <c r="E81">
        <v>0.33</v>
      </c>
      <c r="F81">
        <v>0.67</v>
      </c>
      <c r="G81">
        <v>0</v>
      </c>
      <c r="H81">
        <v>0</v>
      </c>
      <c r="I81">
        <v>0.48088999999999998</v>
      </c>
      <c r="J81">
        <v>14.608689999999999</v>
      </c>
      <c r="K81">
        <v>1.0571299999999999</v>
      </c>
      <c r="L81">
        <v>0.33</v>
      </c>
      <c r="M81">
        <v>0.67</v>
      </c>
      <c r="N81">
        <v>0</v>
      </c>
      <c r="O81">
        <v>0</v>
      </c>
      <c r="P81">
        <v>0.49180000000000001</v>
      </c>
      <c r="Q81">
        <v>14.599550000000001</v>
      </c>
      <c r="R81">
        <v>1.0515000000000001</v>
      </c>
      <c r="S81">
        <v>0.33</v>
      </c>
      <c r="T81">
        <v>0.67</v>
      </c>
      <c r="U81">
        <v>0</v>
      </c>
      <c r="V81">
        <v>0</v>
      </c>
      <c r="W81">
        <v>0.50658999999999998</v>
      </c>
      <c r="X81">
        <v>16.03453</v>
      </c>
      <c r="Y81">
        <v>1.0422199999999999</v>
      </c>
      <c r="Z81">
        <v>0.33</v>
      </c>
      <c r="AA81">
        <v>0.67</v>
      </c>
      <c r="AB81">
        <v>0</v>
      </c>
      <c r="AC81">
        <v>0</v>
      </c>
      <c r="AD81">
        <v>0.50839999999999996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BA81">
        <v>1503</v>
      </c>
      <c r="BB81" t="s">
        <v>274</v>
      </c>
      <c r="BC81">
        <v>1407.2</v>
      </c>
      <c r="BD81">
        <v>1425.5</v>
      </c>
    </row>
    <row r="82" spans="1:56" x14ac:dyDescent="0.25">
      <c r="A82">
        <v>1503</v>
      </c>
      <c r="B82" t="s">
        <v>274</v>
      </c>
      <c r="C82">
        <v>10.68355</v>
      </c>
      <c r="D82">
        <v>1.0812299999999999</v>
      </c>
      <c r="E82">
        <v>0.33</v>
      </c>
      <c r="F82">
        <v>0.28269</v>
      </c>
      <c r="G82">
        <v>0</v>
      </c>
      <c r="H82">
        <v>0</v>
      </c>
      <c r="I82">
        <v>2.80491</v>
      </c>
      <c r="J82">
        <v>11.27473</v>
      </c>
      <c r="K82">
        <v>1.0597399999999999</v>
      </c>
      <c r="L82">
        <v>0.33</v>
      </c>
      <c r="M82">
        <v>0.31253999999999998</v>
      </c>
      <c r="N82">
        <v>0</v>
      </c>
      <c r="O82">
        <v>0</v>
      </c>
      <c r="P82">
        <v>2.0769199999999999</v>
      </c>
      <c r="Q82">
        <v>12.35252</v>
      </c>
      <c r="R82">
        <v>0.23261000000000001</v>
      </c>
      <c r="S82">
        <v>0.33</v>
      </c>
      <c r="T82">
        <v>0.30281000000000002</v>
      </c>
      <c r="U82">
        <v>0</v>
      </c>
      <c r="V82">
        <v>0</v>
      </c>
      <c r="W82">
        <v>2.2814000000000001</v>
      </c>
      <c r="X82">
        <v>12.522679999999999</v>
      </c>
      <c r="Y82">
        <v>0.87858000000000003</v>
      </c>
      <c r="Z82">
        <v>0.33</v>
      </c>
      <c r="AA82">
        <v>0.30256</v>
      </c>
      <c r="AB82">
        <v>0</v>
      </c>
      <c r="AC82">
        <v>0</v>
      </c>
      <c r="AD82">
        <v>1.9263600000000001</v>
      </c>
      <c r="AF82">
        <v>0</v>
      </c>
      <c r="AG82">
        <v>0</v>
      </c>
      <c r="AH82">
        <v>0</v>
      </c>
      <c r="AI82">
        <v>0</v>
      </c>
      <c r="AJ82">
        <v>0.02</v>
      </c>
      <c r="AK82">
        <v>127787</v>
      </c>
      <c r="AL82">
        <v>0</v>
      </c>
      <c r="AM82">
        <v>0</v>
      </c>
      <c r="AN82">
        <v>0</v>
      </c>
      <c r="AO82">
        <v>0</v>
      </c>
      <c r="AP82">
        <v>0.02</v>
      </c>
      <c r="AQ82">
        <v>127630</v>
      </c>
      <c r="AR82">
        <v>0</v>
      </c>
      <c r="AS82">
        <v>0</v>
      </c>
      <c r="AT82">
        <v>0</v>
      </c>
      <c r="AU82">
        <v>0</v>
      </c>
      <c r="AV82">
        <v>0.02</v>
      </c>
      <c r="AW82">
        <v>121408</v>
      </c>
      <c r="BA82">
        <v>1576</v>
      </c>
      <c r="BB82" t="s">
        <v>275</v>
      </c>
      <c r="BC82">
        <v>2139.8000000000002</v>
      </c>
      <c r="BD82">
        <v>2247.1</v>
      </c>
    </row>
    <row r="83" spans="1:56" x14ac:dyDescent="0.25">
      <c r="A83">
        <v>1576</v>
      </c>
      <c r="B83" t="s">
        <v>275</v>
      </c>
      <c r="C83">
        <v>11.29622</v>
      </c>
      <c r="D83">
        <v>0.83337000000000006</v>
      </c>
      <c r="E83">
        <v>0.33</v>
      </c>
      <c r="F83">
        <v>1.34</v>
      </c>
      <c r="G83">
        <v>0</v>
      </c>
      <c r="H83">
        <v>0</v>
      </c>
      <c r="I83">
        <v>3.1786599999999998</v>
      </c>
      <c r="J83">
        <v>11.162050000000001</v>
      </c>
      <c r="K83">
        <v>0.96267000000000003</v>
      </c>
      <c r="L83">
        <v>0.33</v>
      </c>
      <c r="M83">
        <v>1.34</v>
      </c>
      <c r="N83">
        <v>0</v>
      </c>
      <c r="O83">
        <v>0</v>
      </c>
      <c r="P83">
        <v>3.1564000000000001</v>
      </c>
      <c r="Q83">
        <v>11.224080000000001</v>
      </c>
      <c r="R83">
        <v>0.97589000000000004</v>
      </c>
      <c r="S83">
        <v>0.33</v>
      </c>
      <c r="T83">
        <v>1.34</v>
      </c>
      <c r="U83">
        <v>0</v>
      </c>
      <c r="V83">
        <v>0</v>
      </c>
      <c r="W83">
        <v>2.6981000000000002</v>
      </c>
      <c r="X83">
        <v>11.4351</v>
      </c>
      <c r="Y83">
        <v>0.79810000000000003</v>
      </c>
      <c r="Z83">
        <v>0.33</v>
      </c>
      <c r="AA83">
        <v>1</v>
      </c>
      <c r="AB83">
        <v>0</v>
      </c>
      <c r="AC83">
        <v>0</v>
      </c>
      <c r="AD83">
        <v>2.97329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BA83">
        <v>1602</v>
      </c>
      <c r="BB83" t="s">
        <v>276</v>
      </c>
      <c r="BC83">
        <v>483</v>
      </c>
      <c r="BD83">
        <v>485.2</v>
      </c>
    </row>
    <row r="84" spans="1:56" x14ac:dyDescent="0.25">
      <c r="A84">
        <v>1602</v>
      </c>
      <c r="B84" t="s">
        <v>276</v>
      </c>
      <c r="C84">
        <v>14.752039999999999</v>
      </c>
      <c r="D84">
        <v>1.5201199999999999</v>
      </c>
      <c r="E84">
        <v>0.33</v>
      </c>
      <c r="F84">
        <v>0</v>
      </c>
      <c r="G84">
        <v>0</v>
      </c>
      <c r="H84">
        <v>0</v>
      </c>
      <c r="I84">
        <v>0.72784000000000004</v>
      </c>
      <c r="J84">
        <v>14.92074</v>
      </c>
      <c r="K84">
        <v>1.3031200000000001</v>
      </c>
      <c r="L84">
        <v>0.33</v>
      </c>
      <c r="M84">
        <v>0</v>
      </c>
      <c r="N84">
        <v>0</v>
      </c>
      <c r="O84">
        <v>0</v>
      </c>
      <c r="P84">
        <v>0.77527999999999997</v>
      </c>
      <c r="Q84">
        <v>15.01426</v>
      </c>
      <c r="R84">
        <v>1.15351</v>
      </c>
      <c r="S84">
        <v>0.33</v>
      </c>
      <c r="T84">
        <v>0</v>
      </c>
      <c r="U84">
        <v>0</v>
      </c>
      <c r="V84">
        <v>0</v>
      </c>
      <c r="W84">
        <v>0.83223000000000003</v>
      </c>
      <c r="X84">
        <v>14.79636</v>
      </c>
      <c r="Y84">
        <v>1.2477799999999999</v>
      </c>
      <c r="Z84">
        <v>0.33</v>
      </c>
      <c r="AA84">
        <v>0</v>
      </c>
      <c r="AB84">
        <v>0</v>
      </c>
      <c r="AC84">
        <v>0</v>
      </c>
      <c r="AD84">
        <v>0.95586000000000004</v>
      </c>
      <c r="AF84">
        <v>0.09</v>
      </c>
      <c r="AG84">
        <v>189809</v>
      </c>
      <c r="AH84">
        <v>0</v>
      </c>
      <c r="AI84">
        <v>0</v>
      </c>
      <c r="AJ84">
        <v>0</v>
      </c>
      <c r="AK84">
        <v>0</v>
      </c>
      <c r="AL84">
        <v>0.09</v>
      </c>
      <c r="AM84">
        <v>181800</v>
      </c>
      <c r="AN84">
        <v>0</v>
      </c>
      <c r="AO84">
        <v>0</v>
      </c>
      <c r="AP84">
        <v>0</v>
      </c>
      <c r="AQ84">
        <v>0</v>
      </c>
      <c r="AR84">
        <v>0.1</v>
      </c>
      <c r="AS84">
        <v>196381</v>
      </c>
      <c r="AT84">
        <v>0</v>
      </c>
      <c r="AU84">
        <v>0</v>
      </c>
      <c r="AV84">
        <v>0</v>
      </c>
      <c r="AW84">
        <v>0</v>
      </c>
      <c r="BA84">
        <v>1611</v>
      </c>
      <c r="BB84" t="s">
        <v>277</v>
      </c>
      <c r="BC84">
        <v>15940.2</v>
      </c>
      <c r="BD84">
        <v>15981.1</v>
      </c>
    </row>
    <row r="85" spans="1:56" x14ac:dyDescent="0.25">
      <c r="A85">
        <v>1611</v>
      </c>
      <c r="B85" t="s">
        <v>277</v>
      </c>
      <c r="C85">
        <v>13.435890000000001</v>
      </c>
      <c r="D85">
        <v>1.10158</v>
      </c>
      <c r="E85">
        <v>0.33</v>
      </c>
      <c r="F85">
        <v>0.97</v>
      </c>
      <c r="G85">
        <v>0</v>
      </c>
      <c r="H85">
        <v>0</v>
      </c>
      <c r="I85">
        <v>0</v>
      </c>
      <c r="J85">
        <v>14.38241</v>
      </c>
      <c r="K85">
        <v>0.98092000000000001</v>
      </c>
      <c r="L85">
        <v>0.33</v>
      </c>
      <c r="M85">
        <v>0.97</v>
      </c>
      <c r="N85">
        <v>0</v>
      </c>
      <c r="O85">
        <v>0</v>
      </c>
      <c r="P85">
        <v>0</v>
      </c>
      <c r="Q85">
        <v>14.94688</v>
      </c>
      <c r="R85">
        <v>0.80308000000000002</v>
      </c>
      <c r="S85">
        <v>0.33</v>
      </c>
      <c r="T85">
        <v>0.97</v>
      </c>
      <c r="U85">
        <v>0</v>
      </c>
      <c r="V85">
        <v>0</v>
      </c>
      <c r="W85">
        <v>0</v>
      </c>
      <c r="X85">
        <v>15.056850000000001</v>
      </c>
      <c r="Y85">
        <v>0.69376000000000004</v>
      </c>
      <c r="Z85">
        <v>0.33</v>
      </c>
      <c r="AA85">
        <v>0.97</v>
      </c>
      <c r="AB85">
        <v>0</v>
      </c>
      <c r="AC85">
        <v>0</v>
      </c>
      <c r="AD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BA85">
        <v>1619</v>
      </c>
      <c r="BB85" t="s">
        <v>278</v>
      </c>
      <c r="BC85">
        <v>1195.7</v>
      </c>
      <c r="BD85">
        <v>1182</v>
      </c>
    </row>
    <row r="86" spans="1:56" x14ac:dyDescent="0.25">
      <c r="A86">
        <v>1619</v>
      </c>
      <c r="B86" t="s">
        <v>278</v>
      </c>
      <c r="C86">
        <v>14.594010000000001</v>
      </c>
      <c r="D86">
        <v>1.0222899999999999</v>
      </c>
      <c r="E86">
        <v>0.33</v>
      </c>
      <c r="F86">
        <v>0</v>
      </c>
      <c r="G86">
        <v>0</v>
      </c>
      <c r="H86">
        <v>0</v>
      </c>
      <c r="I86">
        <v>0</v>
      </c>
      <c r="J86">
        <v>14.26737</v>
      </c>
      <c r="K86">
        <v>0.69016999999999995</v>
      </c>
      <c r="L86">
        <v>0.33</v>
      </c>
      <c r="M86">
        <v>0</v>
      </c>
      <c r="N86">
        <v>0</v>
      </c>
      <c r="O86">
        <v>0</v>
      </c>
      <c r="P86">
        <v>0</v>
      </c>
      <c r="Q86">
        <v>13.74044</v>
      </c>
      <c r="R86">
        <v>1.07609</v>
      </c>
      <c r="S86">
        <v>0.33</v>
      </c>
      <c r="T86">
        <v>0</v>
      </c>
      <c r="U86">
        <v>0</v>
      </c>
      <c r="V86">
        <v>0</v>
      </c>
      <c r="W86">
        <v>0</v>
      </c>
      <c r="X86">
        <v>13.041130000000001</v>
      </c>
      <c r="Y86">
        <v>1.21014</v>
      </c>
      <c r="Z86">
        <v>0.33</v>
      </c>
      <c r="AA86">
        <v>0</v>
      </c>
      <c r="AB86">
        <v>0</v>
      </c>
      <c r="AC86">
        <v>0</v>
      </c>
      <c r="AD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BA86">
        <v>1638</v>
      </c>
      <c r="BB86" t="s">
        <v>279</v>
      </c>
      <c r="BC86">
        <v>1419.1</v>
      </c>
      <c r="BD86">
        <v>1393.6</v>
      </c>
    </row>
    <row r="87" spans="1:56" x14ac:dyDescent="0.25">
      <c r="A87">
        <v>1638</v>
      </c>
      <c r="B87" t="s">
        <v>279</v>
      </c>
      <c r="C87">
        <v>9.8245400000000007</v>
      </c>
      <c r="D87">
        <v>1.28945</v>
      </c>
      <c r="E87">
        <v>0.33</v>
      </c>
      <c r="F87">
        <v>1.34</v>
      </c>
      <c r="G87">
        <v>0</v>
      </c>
      <c r="H87">
        <v>0</v>
      </c>
      <c r="I87">
        <v>2.32016</v>
      </c>
      <c r="J87">
        <v>10.61647</v>
      </c>
      <c r="K87">
        <v>0.97038000000000002</v>
      </c>
      <c r="L87">
        <v>0.33</v>
      </c>
      <c r="M87">
        <v>1.34</v>
      </c>
      <c r="N87">
        <v>0</v>
      </c>
      <c r="O87">
        <v>0</v>
      </c>
      <c r="P87">
        <v>2.4369800000000001</v>
      </c>
      <c r="Q87">
        <v>10.97537</v>
      </c>
      <c r="R87">
        <v>1.00701</v>
      </c>
      <c r="S87">
        <v>0.33</v>
      </c>
      <c r="T87">
        <v>1.34</v>
      </c>
      <c r="U87">
        <v>0</v>
      </c>
      <c r="V87">
        <v>0</v>
      </c>
      <c r="W87">
        <v>2.5271699999999999</v>
      </c>
      <c r="X87">
        <v>11.06517</v>
      </c>
      <c r="Y87">
        <v>1.3590500000000001</v>
      </c>
      <c r="Z87">
        <v>0.33</v>
      </c>
      <c r="AA87">
        <v>1.34</v>
      </c>
      <c r="AB87">
        <v>0</v>
      </c>
      <c r="AC87">
        <v>0</v>
      </c>
      <c r="AD87">
        <v>2.61694</v>
      </c>
      <c r="AF87">
        <v>0.06</v>
      </c>
      <c r="AG87">
        <v>553006</v>
      </c>
      <c r="AH87">
        <v>0</v>
      </c>
      <c r="AI87">
        <v>0</v>
      </c>
      <c r="AJ87">
        <v>0</v>
      </c>
      <c r="AK87">
        <v>0</v>
      </c>
      <c r="AL87">
        <v>0.06</v>
      </c>
      <c r="AM87">
        <v>521980</v>
      </c>
      <c r="AN87">
        <v>0</v>
      </c>
      <c r="AO87">
        <v>0</v>
      </c>
      <c r="AP87">
        <v>0</v>
      </c>
      <c r="AQ87">
        <v>0</v>
      </c>
      <c r="AR87">
        <v>0.05</v>
      </c>
      <c r="AS87">
        <v>414171</v>
      </c>
      <c r="AT87">
        <v>0</v>
      </c>
      <c r="AU87">
        <v>0</v>
      </c>
      <c r="AV87">
        <v>0</v>
      </c>
      <c r="AW87">
        <v>0</v>
      </c>
      <c r="BA87">
        <v>1675</v>
      </c>
      <c r="BB87" t="s">
        <v>280</v>
      </c>
      <c r="BC87">
        <v>204.3</v>
      </c>
      <c r="BD87">
        <v>212</v>
      </c>
    </row>
    <row r="88" spans="1:56" x14ac:dyDescent="0.25">
      <c r="A88">
        <v>1675</v>
      </c>
      <c r="B88" t="s">
        <v>280</v>
      </c>
      <c r="C88">
        <v>9.3338300000000007</v>
      </c>
      <c r="D88">
        <v>1.60836</v>
      </c>
      <c r="E88">
        <v>0</v>
      </c>
      <c r="F88">
        <v>0</v>
      </c>
      <c r="G88">
        <v>0</v>
      </c>
      <c r="H88">
        <v>0</v>
      </c>
      <c r="I88">
        <v>0</v>
      </c>
      <c r="J88">
        <v>10.94786</v>
      </c>
      <c r="K88">
        <v>0.68718000000000001</v>
      </c>
      <c r="L88">
        <v>0</v>
      </c>
      <c r="M88">
        <v>0</v>
      </c>
      <c r="N88">
        <v>0</v>
      </c>
      <c r="O88">
        <v>0</v>
      </c>
      <c r="P88">
        <v>0</v>
      </c>
      <c r="Q88">
        <v>11.420820000000001</v>
      </c>
      <c r="R88">
        <v>0.35604999999999998</v>
      </c>
      <c r="S88">
        <v>0</v>
      </c>
      <c r="T88">
        <v>0</v>
      </c>
      <c r="U88">
        <v>0</v>
      </c>
      <c r="V88">
        <v>0</v>
      </c>
      <c r="W88">
        <v>0</v>
      </c>
      <c r="X88">
        <v>11.78875</v>
      </c>
      <c r="Y88">
        <v>0.36630000000000001</v>
      </c>
      <c r="Z88">
        <v>0</v>
      </c>
      <c r="AA88">
        <v>0</v>
      </c>
      <c r="AB88">
        <v>0</v>
      </c>
      <c r="AC88">
        <v>0</v>
      </c>
      <c r="AD88">
        <v>0</v>
      </c>
      <c r="AF88">
        <v>0.09</v>
      </c>
      <c r="AG88">
        <v>80863</v>
      </c>
      <c r="AH88">
        <v>0.01</v>
      </c>
      <c r="AI88">
        <v>8985</v>
      </c>
      <c r="AJ88">
        <v>0</v>
      </c>
      <c r="AK88">
        <v>0</v>
      </c>
      <c r="AL88">
        <v>0.1</v>
      </c>
      <c r="AM88">
        <v>88554</v>
      </c>
      <c r="AN88">
        <v>0</v>
      </c>
      <c r="AO88">
        <v>0</v>
      </c>
      <c r="AP88">
        <v>0</v>
      </c>
      <c r="AQ88">
        <v>0</v>
      </c>
      <c r="AR88">
        <v>0.1</v>
      </c>
      <c r="AS88">
        <v>86108</v>
      </c>
      <c r="AT88">
        <v>0</v>
      </c>
      <c r="AU88">
        <v>0</v>
      </c>
      <c r="AV88">
        <v>0</v>
      </c>
      <c r="AW88">
        <v>0</v>
      </c>
      <c r="BA88">
        <v>1701</v>
      </c>
      <c r="BB88" t="s">
        <v>281</v>
      </c>
      <c r="BC88">
        <v>2068.6</v>
      </c>
      <c r="BD88">
        <v>2047</v>
      </c>
    </row>
    <row r="89" spans="1:56" x14ac:dyDescent="0.25">
      <c r="A89">
        <v>1701</v>
      </c>
      <c r="B89" t="s">
        <v>281</v>
      </c>
      <c r="C89">
        <v>11.594110000000001</v>
      </c>
      <c r="D89">
        <v>0.98302</v>
      </c>
      <c r="E89">
        <v>0.33</v>
      </c>
      <c r="F89">
        <v>0</v>
      </c>
      <c r="G89">
        <v>0</v>
      </c>
      <c r="H89">
        <v>0</v>
      </c>
      <c r="I89">
        <v>0.96074000000000004</v>
      </c>
      <c r="J89">
        <v>11.431010000000001</v>
      </c>
      <c r="K89">
        <v>1.04372</v>
      </c>
      <c r="L89">
        <v>0.33</v>
      </c>
      <c r="M89">
        <v>0</v>
      </c>
      <c r="N89">
        <v>0</v>
      </c>
      <c r="O89">
        <v>0</v>
      </c>
      <c r="P89">
        <v>1.0122599999999999</v>
      </c>
      <c r="Q89">
        <v>11.3186</v>
      </c>
      <c r="R89">
        <v>1.0986</v>
      </c>
      <c r="S89">
        <v>0.33</v>
      </c>
      <c r="T89">
        <v>0</v>
      </c>
      <c r="U89">
        <v>0</v>
      </c>
      <c r="V89">
        <v>0</v>
      </c>
      <c r="W89">
        <v>1.0704</v>
      </c>
      <c r="X89">
        <v>11.8315</v>
      </c>
      <c r="Y89">
        <v>1.0043899999999999</v>
      </c>
      <c r="Z89">
        <v>0.33</v>
      </c>
      <c r="AA89">
        <v>0</v>
      </c>
      <c r="AB89">
        <v>0</v>
      </c>
      <c r="AC89">
        <v>0</v>
      </c>
      <c r="AD89">
        <v>1.15126</v>
      </c>
      <c r="AF89">
        <v>0.08</v>
      </c>
      <c r="AG89">
        <v>589424</v>
      </c>
      <c r="AH89">
        <v>0</v>
      </c>
      <c r="AI89">
        <v>0</v>
      </c>
      <c r="AJ89">
        <v>0</v>
      </c>
      <c r="AK89">
        <v>0</v>
      </c>
      <c r="AL89">
        <v>0.09</v>
      </c>
      <c r="AM89">
        <v>615865</v>
      </c>
      <c r="AN89">
        <v>0</v>
      </c>
      <c r="AO89">
        <v>0</v>
      </c>
      <c r="AP89">
        <v>0</v>
      </c>
      <c r="AQ89">
        <v>0</v>
      </c>
      <c r="AR89">
        <v>0.09</v>
      </c>
      <c r="AS89">
        <v>565809</v>
      </c>
      <c r="AT89">
        <v>0</v>
      </c>
      <c r="AU89">
        <v>0</v>
      </c>
      <c r="AV89">
        <v>0</v>
      </c>
      <c r="AW89">
        <v>0</v>
      </c>
      <c r="BA89">
        <v>1719</v>
      </c>
      <c r="BB89" t="s">
        <v>282</v>
      </c>
      <c r="BC89">
        <v>717.1</v>
      </c>
      <c r="BD89">
        <v>699.1</v>
      </c>
    </row>
    <row r="90" spans="1:56" x14ac:dyDescent="0.25">
      <c r="A90">
        <v>1719</v>
      </c>
      <c r="B90" t="s">
        <v>282</v>
      </c>
      <c r="C90">
        <v>11.129020000000001</v>
      </c>
      <c r="D90">
        <v>1.04681</v>
      </c>
      <c r="E90">
        <v>0.33</v>
      </c>
      <c r="F90">
        <v>0.67</v>
      </c>
      <c r="G90">
        <v>0</v>
      </c>
      <c r="H90">
        <v>0</v>
      </c>
      <c r="I90">
        <v>0.77990999999999999</v>
      </c>
      <c r="J90">
        <v>10.38325</v>
      </c>
      <c r="K90">
        <v>1.0832299999999999</v>
      </c>
      <c r="L90">
        <v>0.33</v>
      </c>
      <c r="M90">
        <v>0.67</v>
      </c>
      <c r="N90">
        <v>0</v>
      </c>
      <c r="O90">
        <v>0</v>
      </c>
      <c r="P90">
        <v>0.79449999999999998</v>
      </c>
      <c r="Q90">
        <v>10.53965</v>
      </c>
      <c r="R90">
        <v>1.13472</v>
      </c>
      <c r="S90">
        <v>0.33</v>
      </c>
      <c r="T90">
        <v>0.67</v>
      </c>
      <c r="U90">
        <v>0</v>
      </c>
      <c r="V90">
        <v>0</v>
      </c>
      <c r="W90">
        <v>0.84287000000000001</v>
      </c>
      <c r="X90">
        <v>12.29781</v>
      </c>
      <c r="Y90">
        <v>0.61195999999999995</v>
      </c>
      <c r="Z90">
        <v>0.33</v>
      </c>
      <c r="AA90">
        <v>0.67</v>
      </c>
      <c r="AB90">
        <v>0</v>
      </c>
      <c r="AC90">
        <v>0</v>
      </c>
      <c r="AD90">
        <v>0.87690999999999997</v>
      </c>
      <c r="AF90">
        <v>0.04</v>
      </c>
      <c r="AG90">
        <v>190105</v>
      </c>
      <c r="AH90">
        <v>0</v>
      </c>
      <c r="AI90">
        <v>0</v>
      </c>
      <c r="AJ90">
        <v>0</v>
      </c>
      <c r="AK90">
        <v>0</v>
      </c>
      <c r="AL90">
        <v>0.04</v>
      </c>
      <c r="AM90">
        <v>177393</v>
      </c>
      <c r="AN90">
        <v>0</v>
      </c>
      <c r="AO90">
        <v>0</v>
      </c>
      <c r="AP90">
        <v>0</v>
      </c>
      <c r="AQ90">
        <v>0</v>
      </c>
      <c r="AR90">
        <v>0.04</v>
      </c>
      <c r="AS90">
        <v>169214</v>
      </c>
      <c r="AT90">
        <v>0</v>
      </c>
      <c r="AU90">
        <v>0</v>
      </c>
      <c r="AV90">
        <v>0</v>
      </c>
      <c r="AW90">
        <v>0</v>
      </c>
      <c r="BA90">
        <v>1737</v>
      </c>
      <c r="BB90" t="s">
        <v>283</v>
      </c>
      <c r="BC90">
        <v>32062.1</v>
      </c>
      <c r="BD90">
        <v>32413.200000000001</v>
      </c>
    </row>
    <row r="91" spans="1:56" x14ac:dyDescent="0.25">
      <c r="A91">
        <v>1737</v>
      </c>
      <c r="B91" t="s">
        <v>283</v>
      </c>
      <c r="C91">
        <v>15.14156</v>
      </c>
      <c r="D91">
        <v>1.9093599999999999</v>
      </c>
      <c r="E91">
        <v>0.33</v>
      </c>
      <c r="F91">
        <v>0.63</v>
      </c>
      <c r="G91">
        <v>0.13500000000000001</v>
      </c>
      <c r="H91">
        <v>0</v>
      </c>
      <c r="I91">
        <v>0</v>
      </c>
      <c r="J91">
        <v>15.69858</v>
      </c>
      <c r="K91">
        <v>1.55484</v>
      </c>
      <c r="L91">
        <v>0.33</v>
      </c>
      <c r="M91">
        <v>0.63</v>
      </c>
      <c r="N91">
        <v>0.13500000000000001</v>
      </c>
      <c r="O91">
        <v>0</v>
      </c>
      <c r="P91">
        <v>0</v>
      </c>
      <c r="Q91">
        <v>15.69861</v>
      </c>
      <c r="R91">
        <v>1.55484</v>
      </c>
      <c r="S91">
        <v>0.33</v>
      </c>
      <c r="T91">
        <v>0.63</v>
      </c>
      <c r="U91">
        <v>0.13500000000000001</v>
      </c>
      <c r="V91">
        <v>0</v>
      </c>
      <c r="W91">
        <v>0</v>
      </c>
      <c r="X91">
        <v>15.698639999999999</v>
      </c>
      <c r="Y91">
        <v>1.55484</v>
      </c>
      <c r="Z91">
        <v>0.33</v>
      </c>
      <c r="AA91">
        <v>0.63</v>
      </c>
      <c r="AB91">
        <v>0.13500000000000001</v>
      </c>
      <c r="AC91">
        <v>0</v>
      </c>
      <c r="AD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BA91">
        <v>1782</v>
      </c>
      <c r="BB91" t="s">
        <v>284</v>
      </c>
      <c r="BC91">
        <v>112</v>
      </c>
      <c r="BD91">
        <v>93</v>
      </c>
    </row>
    <row r="92" spans="1:56" x14ac:dyDescent="0.25">
      <c r="A92">
        <v>1782</v>
      </c>
      <c r="B92" t="s">
        <v>284</v>
      </c>
      <c r="C92">
        <v>15.01144</v>
      </c>
      <c r="D92">
        <v>1.32311</v>
      </c>
      <c r="E92">
        <v>0.33</v>
      </c>
      <c r="F92">
        <v>1.34</v>
      </c>
      <c r="G92">
        <v>0</v>
      </c>
      <c r="H92">
        <v>0</v>
      </c>
      <c r="I92">
        <v>0</v>
      </c>
      <c r="J92">
        <v>14.743650000000001</v>
      </c>
      <c r="K92">
        <v>1.4355</v>
      </c>
      <c r="L92">
        <v>0.33</v>
      </c>
      <c r="M92">
        <v>1.34</v>
      </c>
      <c r="N92">
        <v>0</v>
      </c>
      <c r="O92">
        <v>0</v>
      </c>
      <c r="P92">
        <v>0</v>
      </c>
      <c r="Q92">
        <v>16.400169999999999</v>
      </c>
      <c r="R92">
        <v>0</v>
      </c>
      <c r="S92">
        <v>0.33</v>
      </c>
      <c r="T92">
        <v>1.34</v>
      </c>
      <c r="U92">
        <v>0</v>
      </c>
      <c r="V92">
        <v>0</v>
      </c>
      <c r="W92">
        <v>0</v>
      </c>
      <c r="X92">
        <v>16.59037</v>
      </c>
      <c r="Y92">
        <v>1.12738</v>
      </c>
      <c r="Z92">
        <v>0.33</v>
      </c>
      <c r="AA92">
        <v>1.34</v>
      </c>
      <c r="AB92">
        <v>0</v>
      </c>
      <c r="AC92">
        <v>0</v>
      </c>
      <c r="AD92">
        <v>0</v>
      </c>
      <c r="AF92">
        <v>0.12</v>
      </c>
      <c r="AG92">
        <v>48062</v>
      </c>
      <c r="AH92">
        <v>0</v>
      </c>
      <c r="AI92">
        <v>0</v>
      </c>
      <c r="AJ92">
        <v>0</v>
      </c>
      <c r="AK92">
        <v>0</v>
      </c>
      <c r="AL92">
        <v>0.12</v>
      </c>
      <c r="AM92">
        <v>45238</v>
      </c>
      <c r="AN92">
        <v>0</v>
      </c>
      <c r="AO92">
        <v>0</v>
      </c>
      <c r="AP92">
        <v>0</v>
      </c>
      <c r="AQ92">
        <v>0</v>
      </c>
      <c r="AR92">
        <v>0.14000000000000001</v>
      </c>
      <c r="AS92">
        <v>41066</v>
      </c>
      <c r="AT92">
        <v>0</v>
      </c>
      <c r="AU92">
        <v>0</v>
      </c>
      <c r="AV92">
        <v>0</v>
      </c>
      <c r="AW92">
        <v>0</v>
      </c>
      <c r="BA92">
        <v>1791</v>
      </c>
      <c r="BB92" t="s">
        <v>285</v>
      </c>
      <c r="BC92">
        <v>846.7</v>
      </c>
      <c r="BD92">
        <v>880.5</v>
      </c>
    </row>
    <row r="93" spans="1:56" x14ac:dyDescent="0.25">
      <c r="A93">
        <v>1791</v>
      </c>
      <c r="B93" t="s">
        <v>285</v>
      </c>
      <c r="C93">
        <v>10.579370000000001</v>
      </c>
      <c r="D93">
        <v>0.66368000000000005</v>
      </c>
      <c r="E93">
        <v>0.33</v>
      </c>
      <c r="F93">
        <v>0.5</v>
      </c>
      <c r="G93">
        <v>0</v>
      </c>
      <c r="H93">
        <v>0</v>
      </c>
      <c r="I93">
        <v>0.67425999999999997</v>
      </c>
      <c r="J93">
        <v>10.67229</v>
      </c>
      <c r="K93">
        <v>0.64271999999999996</v>
      </c>
      <c r="L93">
        <v>0.33</v>
      </c>
      <c r="M93">
        <v>0.5</v>
      </c>
      <c r="N93">
        <v>0</v>
      </c>
      <c r="O93">
        <v>0</v>
      </c>
      <c r="P93">
        <v>0.83703000000000005</v>
      </c>
      <c r="Q93">
        <v>10.567920000000001</v>
      </c>
      <c r="R93">
        <v>0.81127000000000005</v>
      </c>
      <c r="S93">
        <v>0.33</v>
      </c>
      <c r="T93">
        <v>0.5</v>
      </c>
      <c r="U93">
        <v>0</v>
      </c>
      <c r="V93">
        <v>0</v>
      </c>
      <c r="W93">
        <v>0.49326999999999999</v>
      </c>
      <c r="X93">
        <v>10.522169999999999</v>
      </c>
      <c r="Y93">
        <v>0.75485999999999998</v>
      </c>
      <c r="Z93">
        <v>0.33</v>
      </c>
      <c r="AA93">
        <v>0.5</v>
      </c>
      <c r="AB93">
        <v>0</v>
      </c>
      <c r="AC93">
        <v>0</v>
      </c>
      <c r="AD93">
        <v>1.4213</v>
      </c>
      <c r="AF93">
        <v>7.0000000000000007E-2</v>
      </c>
      <c r="AG93">
        <v>343490</v>
      </c>
      <c r="AH93">
        <v>0</v>
      </c>
      <c r="AI93">
        <v>0</v>
      </c>
      <c r="AJ93">
        <v>0</v>
      </c>
      <c r="AK93">
        <v>0</v>
      </c>
      <c r="AL93">
        <v>0.08</v>
      </c>
      <c r="AM93">
        <v>346633</v>
      </c>
      <c r="AN93">
        <v>0</v>
      </c>
      <c r="AO93">
        <v>0</v>
      </c>
      <c r="AP93">
        <v>0</v>
      </c>
      <c r="AQ93">
        <v>0</v>
      </c>
      <c r="AR93">
        <v>0.08</v>
      </c>
      <c r="AS93">
        <v>333099</v>
      </c>
      <c r="AT93">
        <v>0</v>
      </c>
      <c r="AU93">
        <v>0</v>
      </c>
      <c r="AV93">
        <v>0</v>
      </c>
      <c r="AW93">
        <v>0</v>
      </c>
      <c r="BA93">
        <v>1863</v>
      </c>
      <c r="BB93" t="s">
        <v>286</v>
      </c>
      <c r="BC93">
        <v>10513.3</v>
      </c>
      <c r="BD93">
        <v>10578.6</v>
      </c>
    </row>
    <row r="94" spans="1:56" x14ac:dyDescent="0.25">
      <c r="A94">
        <v>1863</v>
      </c>
      <c r="B94" t="s">
        <v>286</v>
      </c>
      <c r="C94">
        <v>11.4847</v>
      </c>
      <c r="D94">
        <v>1.5116000000000001</v>
      </c>
      <c r="E94">
        <v>0.33</v>
      </c>
      <c r="F94">
        <v>0.67</v>
      </c>
      <c r="G94">
        <v>0</v>
      </c>
      <c r="H94">
        <v>0</v>
      </c>
      <c r="I94">
        <v>0</v>
      </c>
      <c r="J94">
        <v>11.62865</v>
      </c>
      <c r="K94">
        <v>1.9741599999999999</v>
      </c>
      <c r="L94">
        <v>0.33</v>
      </c>
      <c r="M94">
        <v>0.67</v>
      </c>
      <c r="N94">
        <v>0</v>
      </c>
      <c r="O94">
        <v>0</v>
      </c>
      <c r="P94">
        <v>0</v>
      </c>
      <c r="Q94">
        <v>12.706709999999999</v>
      </c>
      <c r="R94">
        <v>1.6971700000000001</v>
      </c>
      <c r="S94">
        <v>0.33</v>
      </c>
      <c r="T94">
        <v>0.67</v>
      </c>
      <c r="U94">
        <v>0</v>
      </c>
      <c r="V94">
        <v>0</v>
      </c>
      <c r="W94">
        <v>0</v>
      </c>
      <c r="X94">
        <v>15.259309999999999</v>
      </c>
      <c r="Y94">
        <v>0.61753999999999998</v>
      </c>
      <c r="Z94">
        <v>0.33</v>
      </c>
      <c r="AA94">
        <v>0.67</v>
      </c>
      <c r="AB94">
        <v>0</v>
      </c>
      <c r="AC94">
        <v>0</v>
      </c>
      <c r="AD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BA94">
        <v>1908</v>
      </c>
      <c r="BB94" t="s">
        <v>287</v>
      </c>
      <c r="BC94">
        <v>476.6</v>
      </c>
      <c r="BD94">
        <v>464</v>
      </c>
    </row>
    <row r="95" spans="1:56" x14ac:dyDescent="0.25">
      <c r="A95">
        <v>1908</v>
      </c>
      <c r="B95" t="s">
        <v>287</v>
      </c>
      <c r="C95">
        <v>9.9763900000000003</v>
      </c>
      <c r="D95">
        <v>1.2112000000000001</v>
      </c>
      <c r="E95">
        <v>0.33</v>
      </c>
      <c r="F95">
        <v>1.34</v>
      </c>
      <c r="G95">
        <v>0</v>
      </c>
      <c r="H95">
        <v>0</v>
      </c>
      <c r="I95">
        <v>2.6997599999999999</v>
      </c>
      <c r="J95">
        <v>11.29363</v>
      </c>
      <c r="K95">
        <v>1.2372799999999999</v>
      </c>
      <c r="L95">
        <v>0.33</v>
      </c>
      <c r="M95">
        <v>1.34</v>
      </c>
      <c r="N95">
        <v>0</v>
      </c>
      <c r="O95">
        <v>0</v>
      </c>
      <c r="P95">
        <v>0.99643000000000004</v>
      </c>
      <c r="Q95">
        <v>12.24512</v>
      </c>
      <c r="R95">
        <v>1.03227</v>
      </c>
      <c r="S95">
        <v>0.33</v>
      </c>
      <c r="T95">
        <v>1.34</v>
      </c>
      <c r="U95">
        <v>0</v>
      </c>
      <c r="V95">
        <v>0</v>
      </c>
      <c r="W95">
        <v>1.0456099999999999</v>
      </c>
      <c r="X95">
        <v>12.41948</v>
      </c>
      <c r="Y95">
        <v>0.78583999999999998</v>
      </c>
      <c r="Z95">
        <v>0.33</v>
      </c>
      <c r="AA95">
        <v>1.34</v>
      </c>
      <c r="AB95">
        <v>0</v>
      </c>
      <c r="AC95">
        <v>0</v>
      </c>
      <c r="AD95">
        <v>1.12293</v>
      </c>
      <c r="AF95">
        <v>0.1</v>
      </c>
      <c r="AG95">
        <v>178756</v>
      </c>
      <c r="AH95">
        <v>0</v>
      </c>
      <c r="AI95">
        <v>0</v>
      </c>
      <c r="AJ95">
        <v>0</v>
      </c>
      <c r="AK95">
        <v>0</v>
      </c>
      <c r="AL95">
        <v>0.1</v>
      </c>
      <c r="AM95">
        <v>178890</v>
      </c>
      <c r="AN95">
        <v>0</v>
      </c>
      <c r="AO95">
        <v>0</v>
      </c>
      <c r="AP95">
        <v>0</v>
      </c>
      <c r="AQ95">
        <v>0</v>
      </c>
      <c r="AR95">
        <v>0.1</v>
      </c>
      <c r="AS95">
        <v>183606</v>
      </c>
      <c r="AT95">
        <v>0</v>
      </c>
      <c r="AU95">
        <v>0</v>
      </c>
      <c r="AV95">
        <v>0</v>
      </c>
      <c r="AW95">
        <v>0</v>
      </c>
      <c r="BA95">
        <v>1926</v>
      </c>
      <c r="BB95" t="s">
        <v>288</v>
      </c>
      <c r="BC95">
        <v>565.4</v>
      </c>
      <c r="BD95">
        <v>565.6</v>
      </c>
    </row>
    <row r="96" spans="1:56" x14ac:dyDescent="0.25">
      <c r="A96">
        <v>1917</v>
      </c>
      <c r="B96" t="s">
        <v>230</v>
      </c>
      <c r="C96">
        <v>10.173780000000001</v>
      </c>
      <c r="D96">
        <v>0.97123000000000004</v>
      </c>
      <c r="E96">
        <v>0.33</v>
      </c>
      <c r="F96">
        <v>0.63</v>
      </c>
      <c r="G96">
        <v>0</v>
      </c>
      <c r="H96">
        <v>0</v>
      </c>
      <c r="I96">
        <v>1.0765</v>
      </c>
      <c r="J96">
        <v>11.338480000000001</v>
      </c>
      <c r="K96">
        <v>0.59643000000000002</v>
      </c>
      <c r="L96">
        <v>0.33</v>
      </c>
      <c r="M96">
        <v>0.63</v>
      </c>
      <c r="N96">
        <v>0</v>
      </c>
      <c r="O96">
        <v>0</v>
      </c>
      <c r="P96">
        <v>0.83533999999999997</v>
      </c>
      <c r="Q96">
        <v>11.940390000000001</v>
      </c>
      <c r="R96">
        <v>0.46739999999999998</v>
      </c>
      <c r="S96">
        <v>0.33</v>
      </c>
      <c r="T96">
        <v>0.63</v>
      </c>
      <c r="U96">
        <v>0</v>
      </c>
      <c r="V96">
        <v>0</v>
      </c>
      <c r="W96">
        <v>1.28939</v>
      </c>
      <c r="X96">
        <v>11.80626</v>
      </c>
      <c r="Y96">
        <v>0.51919000000000004</v>
      </c>
      <c r="Z96">
        <v>0.33</v>
      </c>
      <c r="AA96">
        <v>0.63</v>
      </c>
      <c r="AB96">
        <v>0</v>
      </c>
      <c r="AC96">
        <v>0</v>
      </c>
      <c r="AD96">
        <v>1.5550999999999999</v>
      </c>
      <c r="AF96">
        <v>0.1</v>
      </c>
      <c r="AG96">
        <v>204128</v>
      </c>
      <c r="AH96">
        <v>0</v>
      </c>
      <c r="AI96">
        <v>0</v>
      </c>
      <c r="AJ96">
        <v>0</v>
      </c>
      <c r="AK96">
        <v>0</v>
      </c>
      <c r="AL96">
        <v>0.11</v>
      </c>
      <c r="AM96">
        <v>210440</v>
      </c>
      <c r="AN96">
        <v>0</v>
      </c>
      <c r="AO96">
        <v>0</v>
      </c>
      <c r="AP96">
        <v>0</v>
      </c>
      <c r="AQ96">
        <v>0</v>
      </c>
      <c r="AR96">
        <v>0.11</v>
      </c>
      <c r="AS96">
        <v>194168</v>
      </c>
      <c r="AT96">
        <v>0</v>
      </c>
      <c r="AU96">
        <v>0</v>
      </c>
      <c r="AV96">
        <v>0</v>
      </c>
      <c r="AW96">
        <v>0</v>
      </c>
      <c r="BA96">
        <v>1944</v>
      </c>
      <c r="BB96" t="s">
        <v>289</v>
      </c>
      <c r="BC96">
        <v>834.2</v>
      </c>
      <c r="BD96">
        <v>833.3</v>
      </c>
    </row>
    <row r="97" spans="1:56" x14ac:dyDescent="0.25">
      <c r="A97">
        <v>1926</v>
      </c>
      <c r="B97" t="s">
        <v>288</v>
      </c>
      <c r="C97">
        <v>10.97551</v>
      </c>
      <c r="D97">
        <v>1.7134400000000001</v>
      </c>
      <c r="E97">
        <v>0</v>
      </c>
      <c r="F97">
        <v>2.9760000000000002E-2</v>
      </c>
      <c r="G97">
        <v>0</v>
      </c>
      <c r="H97">
        <v>0</v>
      </c>
      <c r="I97">
        <v>0.49792999999999998</v>
      </c>
      <c r="J97">
        <v>11.51699</v>
      </c>
      <c r="K97">
        <v>1.0787</v>
      </c>
      <c r="L97">
        <v>0</v>
      </c>
      <c r="M97">
        <v>2.5999999999999999E-3</v>
      </c>
      <c r="N97">
        <v>0</v>
      </c>
      <c r="O97">
        <v>0</v>
      </c>
      <c r="P97">
        <v>0.50770000000000004</v>
      </c>
      <c r="Q97">
        <v>10.67365</v>
      </c>
      <c r="R97">
        <v>0.82823999999999998</v>
      </c>
      <c r="S97">
        <v>0.33</v>
      </c>
      <c r="T97">
        <v>7.4999999999999997E-3</v>
      </c>
      <c r="U97">
        <v>0</v>
      </c>
      <c r="V97">
        <v>0</v>
      </c>
      <c r="W97">
        <v>0.55249000000000004</v>
      </c>
      <c r="X97">
        <v>11.86941</v>
      </c>
      <c r="Y97">
        <v>0.82823999999999998</v>
      </c>
      <c r="Z97">
        <v>0.33</v>
      </c>
      <c r="AA97">
        <v>2.6800000000000001E-2</v>
      </c>
      <c r="AB97">
        <v>0</v>
      </c>
      <c r="AC97">
        <v>0</v>
      </c>
      <c r="AD97">
        <v>0.57369999999999999</v>
      </c>
      <c r="AF97">
        <v>0.05</v>
      </c>
      <c r="AG97">
        <v>142411</v>
      </c>
      <c r="AH97">
        <v>0</v>
      </c>
      <c r="AI97">
        <v>0</v>
      </c>
      <c r="AJ97">
        <v>0.05</v>
      </c>
      <c r="AK97">
        <v>142411</v>
      </c>
      <c r="AL97">
        <v>0.05</v>
      </c>
      <c r="AM97">
        <v>134669</v>
      </c>
      <c r="AN97">
        <v>0</v>
      </c>
      <c r="AO97">
        <v>0</v>
      </c>
      <c r="AP97">
        <v>0.05</v>
      </c>
      <c r="AQ97">
        <v>134669</v>
      </c>
      <c r="AR97">
        <v>0.05</v>
      </c>
      <c r="AS97">
        <v>129325</v>
      </c>
      <c r="AT97">
        <v>0</v>
      </c>
      <c r="AU97">
        <v>0</v>
      </c>
      <c r="AV97">
        <v>0.05</v>
      </c>
      <c r="AW97">
        <v>129325</v>
      </c>
      <c r="BA97">
        <v>1953</v>
      </c>
      <c r="BB97" t="s">
        <v>290</v>
      </c>
      <c r="BC97">
        <v>617.29999999999995</v>
      </c>
      <c r="BD97">
        <v>644.70000000000005</v>
      </c>
    </row>
    <row r="98" spans="1:56" x14ac:dyDescent="0.25">
      <c r="A98">
        <v>1935</v>
      </c>
      <c r="B98" t="s">
        <v>491</v>
      </c>
      <c r="C98">
        <v>10.95143</v>
      </c>
      <c r="D98">
        <v>0.77297000000000005</v>
      </c>
      <c r="E98">
        <v>0.33</v>
      </c>
      <c r="F98">
        <v>0</v>
      </c>
      <c r="G98">
        <v>0</v>
      </c>
      <c r="H98">
        <v>0</v>
      </c>
      <c r="I98">
        <v>0</v>
      </c>
      <c r="J98">
        <v>11.003539999999999</v>
      </c>
      <c r="K98">
        <v>0.80196999999999996</v>
      </c>
      <c r="L98">
        <v>0.33</v>
      </c>
      <c r="M98">
        <v>0</v>
      </c>
      <c r="N98">
        <v>0</v>
      </c>
      <c r="O98">
        <v>0</v>
      </c>
      <c r="P98">
        <v>0</v>
      </c>
      <c r="Q98">
        <v>10.972580000000001</v>
      </c>
      <c r="R98">
        <v>0.76507000000000003</v>
      </c>
      <c r="S98">
        <v>0.33</v>
      </c>
      <c r="T98">
        <v>0</v>
      </c>
      <c r="U98">
        <v>0</v>
      </c>
      <c r="V98">
        <v>0</v>
      </c>
      <c r="W98">
        <v>0</v>
      </c>
      <c r="X98">
        <v>11.619619999999999</v>
      </c>
      <c r="Y98">
        <v>0.75161</v>
      </c>
      <c r="Z98">
        <v>0.33</v>
      </c>
      <c r="AA98">
        <v>0</v>
      </c>
      <c r="AB98">
        <v>0</v>
      </c>
      <c r="AC98">
        <v>0</v>
      </c>
      <c r="AD98">
        <v>0</v>
      </c>
      <c r="AF98">
        <v>0.09</v>
      </c>
      <c r="AG98">
        <v>555129</v>
      </c>
      <c r="AH98">
        <v>0</v>
      </c>
      <c r="AI98">
        <v>0</v>
      </c>
      <c r="AJ98">
        <v>0</v>
      </c>
      <c r="AK98">
        <v>0</v>
      </c>
      <c r="AL98">
        <v>0.09</v>
      </c>
      <c r="AM98">
        <v>517491</v>
      </c>
      <c r="AN98">
        <v>0</v>
      </c>
      <c r="AO98">
        <v>0</v>
      </c>
      <c r="AP98">
        <v>0</v>
      </c>
      <c r="AQ98">
        <v>0</v>
      </c>
      <c r="AR98">
        <v>0.09</v>
      </c>
      <c r="AS98">
        <v>523438</v>
      </c>
      <c r="AT98">
        <v>0</v>
      </c>
      <c r="AU98">
        <v>0</v>
      </c>
      <c r="AV98">
        <v>0</v>
      </c>
      <c r="AW98">
        <v>0</v>
      </c>
      <c r="BA98">
        <v>1963</v>
      </c>
      <c r="BB98" t="s">
        <v>291</v>
      </c>
      <c r="BC98">
        <v>558.4</v>
      </c>
      <c r="BD98">
        <v>560.29999999999995</v>
      </c>
    </row>
    <row r="99" spans="1:56" x14ac:dyDescent="0.25">
      <c r="A99">
        <v>1944</v>
      </c>
      <c r="B99" t="s">
        <v>289</v>
      </c>
      <c r="C99">
        <v>11.78773</v>
      </c>
      <c r="D99">
        <v>1.2253499999999999</v>
      </c>
      <c r="E99">
        <v>0.33</v>
      </c>
      <c r="F99">
        <v>0.67</v>
      </c>
      <c r="G99">
        <v>0</v>
      </c>
      <c r="H99">
        <v>0</v>
      </c>
      <c r="I99">
        <v>1.65909</v>
      </c>
      <c r="J99">
        <v>12.022449999999999</v>
      </c>
      <c r="K99">
        <v>1.41235</v>
      </c>
      <c r="L99">
        <v>0.33</v>
      </c>
      <c r="M99">
        <v>0.67</v>
      </c>
      <c r="N99">
        <v>0</v>
      </c>
      <c r="O99">
        <v>0</v>
      </c>
      <c r="P99">
        <v>1.6988099999999999</v>
      </c>
      <c r="Q99">
        <v>12.74131</v>
      </c>
      <c r="R99">
        <v>1.6963699999999999</v>
      </c>
      <c r="S99">
        <v>0.33</v>
      </c>
      <c r="T99">
        <v>0.67</v>
      </c>
      <c r="U99">
        <v>0</v>
      </c>
      <c r="V99">
        <v>0</v>
      </c>
      <c r="W99">
        <v>1.34005</v>
      </c>
      <c r="X99">
        <v>13.97941</v>
      </c>
      <c r="Y99">
        <v>1.2300800000000001</v>
      </c>
      <c r="Z99">
        <v>0.33</v>
      </c>
      <c r="AA99">
        <v>0.67</v>
      </c>
      <c r="AB99">
        <v>0</v>
      </c>
      <c r="AC99">
        <v>0</v>
      </c>
      <c r="AD99">
        <v>0.99773000000000001</v>
      </c>
      <c r="AF99">
        <v>7.0000000000000007E-2</v>
      </c>
      <c r="AG99">
        <v>216233</v>
      </c>
      <c r="AH99">
        <v>0</v>
      </c>
      <c r="AI99">
        <v>0</v>
      </c>
      <c r="AJ99">
        <v>0</v>
      </c>
      <c r="AK99">
        <v>0</v>
      </c>
      <c r="AL99">
        <v>7.0000000000000007E-2</v>
      </c>
      <c r="AM99">
        <v>212530</v>
      </c>
      <c r="AN99">
        <v>0</v>
      </c>
      <c r="AO99">
        <v>0</v>
      </c>
      <c r="AP99">
        <v>0</v>
      </c>
      <c r="AQ99">
        <v>0</v>
      </c>
      <c r="AR99">
        <v>7.0000000000000007E-2</v>
      </c>
      <c r="AS99">
        <v>211869</v>
      </c>
      <c r="AT99">
        <v>0</v>
      </c>
      <c r="AU99">
        <v>0</v>
      </c>
      <c r="AV99">
        <v>0</v>
      </c>
      <c r="AW99">
        <v>0</v>
      </c>
      <c r="BA99">
        <v>3582</v>
      </c>
      <c r="BB99" t="s">
        <v>292</v>
      </c>
      <c r="BC99">
        <v>652.6</v>
      </c>
      <c r="BD99">
        <v>609.29999999999995</v>
      </c>
    </row>
    <row r="100" spans="1:56" x14ac:dyDescent="0.25">
      <c r="A100">
        <v>1953</v>
      </c>
      <c r="B100" t="s">
        <v>290</v>
      </c>
      <c r="C100">
        <v>11.782159999999999</v>
      </c>
      <c r="D100">
        <v>0.77188999999999997</v>
      </c>
      <c r="E100">
        <v>0.33</v>
      </c>
      <c r="F100">
        <v>1</v>
      </c>
      <c r="G100">
        <v>0</v>
      </c>
      <c r="H100">
        <v>0</v>
      </c>
      <c r="I100">
        <v>1.5405500000000001</v>
      </c>
      <c r="J100">
        <v>11.495010000000001</v>
      </c>
      <c r="K100">
        <v>1.0551299999999999</v>
      </c>
      <c r="L100">
        <v>0.33</v>
      </c>
      <c r="M100">
        <v>1</v>
      </c>
      <c r="N100">
        <v>0</v>
      </c>
      <c r="O100">
        <v>0</v>
      </c>
      <c r="P100">
        <v>1.5518000000000001</v>
      </c>
      <c r="Q100">
        <v>12.082269999999999</v>
      </c>
      <c r="R100">
        <v>0.65290999999999999</v>
      </c>
      <c r="S100">
        <v>0.33</v>
      </c>
      <c r="T100">
        <v>1</v>
      </c>
      <c r="U100">
        <v>0</v>
      </c>
      <c r="V100">
        <v>0</v>
      </c>
      <c r="W100">
        <v>1.59754</v>
      </c>
      <c r="X100">
        <v>13.847989999999999</v>
      </c>
      <c r="Y100">
        <v>0.36277999999999999</v>
      </c>
      <c r="Z100">
        <v>0.33</v>
      </c>
      <c r="AA100">
        <v>1</v>
      </c>
      <c r="AB100">
        <v>0</v>
      </c>
      <c r="AC100">
        <v>0</v>
      </c>
      <c r="AD100">
        <v>0.70992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BA100">
        <v>3978</v>
      </c>
      <c r="BB100" t="s">
        <v>609</v>
      </c>
      <c r="BC100">
        <v>556.1</v>
      </c>
      <c r="BD100">
        <v>545.1</v>
      </c>
    </row>
    <row r="101" spans="1:56" x14ac:dyDescent="0.25">
      <c r="A101">
        <v>1963</v>
      </c>
      <c r="B101" t="s">
        <v>291</v>
      </c>
      <c r="C101">
        <v>10.83267</v>
      </c>
      <c r="D101">
        <v>0.98897000000000002</v>
      </c>
      <c r="E101">
        <v>0.33</v>
      </c>
      <c r="F101">
        <v>1</v>
      </c>
      <c r="G101">
        <v>0</v>
      </c>
      <c r="H101">
        <v>0</v>
      </c>
      <c r="I101">
        <v>0</v>
      </c>
      <c r="J101">
        <v>11.601710000000001</v>
      </c>
      <c r="K101">
        <v>0.87075000000000002</v>
      </c>
      <c r="L101">
        <v>0.33</v>
      </c>
      <c r="M101">
        <v>1</v>
      </c>
      <c r="N101">
        <v>0</v>
      </c>
      <c r="O101">
        <v>0</v>
      </c>
      <c r="P101">
        <v>0</v>
      </c>
      <c r="Q101">
        <v>11.69275</v>
      </c>
      <c r="R101">
        <v>0.90488999999999997</v>
      </c>
      <c r="S101">
        <v>0.33</v>
      </c>
      <c r="T101">
        <v>1</v>
      </c>
      <c r="U101">
        <v>0</v>
      </c>
      <c r="V101">
        <v>0</v>
      </c>
      <c r="W101">
        <v>0</v>
      </c>
      <c r="X101">
        <v>11.734959999999999</v>
      </c>
      <c r="Y101">
        <v>1.19391</v>
      </c>
      <c r="Z101">
        <v>0.32950000000000002</v>
      </c>
      <c r="AA101">
        <v>1</v>
      </c>
      <c r="AB101">
        <v>0</v>
      </c>
      <c r="AC101">
        <v>0</v>
      </c>
      <c r="AD101">
        <v>0</v>
      </c>
      <c r="AF101">
        <v>0.1</v>
      </c>
      <c r="AG101">
        <v>239744</v>
      </c>
      <c r="AH101">
        <v>0</v>
      </c>
      <c r="AI101">
        <v>0</v>
      </c>
      <c r="AJ101">
        <v>0</v>
      </c>
      <c r="AK101">
        <v>0</v>
      </c>
      <c r="AL101">
        <v>0.11</v>
      </c>
      <c r="AM101">
        <v>235180</v>
      </c>
      <c r="AN101">
        <v>0</v>
      </c>
      <c r="AO101">
        <v>0</v>
      </c>
      <c r="AP101">
        <v>0</v>
      </c>
      <c r="AQ101">
        <v>0</v>
      </c>
      <c r="AR101">
        <v>0.11</v>
      </c>
      <c r="AS101">
        <v>235556</v>
      </c>
      <c r="AT101">
        <v>0</v>
      </c>
      <c r="AU101">
        <v>0</v>
      </c>
      <c r="AV101">
        <v>0</v>
      </c>
      <c r="AW101">
        <v>0</v>
      </c>
      <c r="BA101">
        <v>6741</v>
      </c>
      <c r="BB101" t="s">
        <v>294</v>
      </c>
      <c r="BC101">
        <v>916.4</v>
      </c>
      <c r="BD101">
        <v>925.2</v>
      </c>
    </row>
    <row r="102" spans="1:56" x14ac:dyDescent="0.25">
      <c r="A102">
        <v>1965</v>
      </c>
      <c r="B102" t="s">
        <v>297</v>
      </c>
      <c r="C102">
        <v>10.59708</v>
      </c>
      <c r="D102">
        <v>0.85387999999999997</v>
      </c>
      <c r="E102">
        <v>0.33</v>
      </c>
      <c r="F102">
        <v>1.34</v>
      </c>
      <c r="G102">
        <v>0</v>
      </c>
      <c r="H102">
        <v>0</v>
      </c>
      <c r="I102">
        <v>0</v>
      </c>
      <c r="J102">
        <v>10.958349999999999</v>
      </c>
      <c r="K102">
        <v>0.73907</v>
      </c>
      <c r="L102">
        <v>0.33</v>
      </c>
      <c r="M102">
        <v>0</v>
      </c>
      <c r="N102">
        <v>0</v>
      </c>
      <c r="O102">
        <v>0</v>
      </c>
      <c r="P102">
        <v>0</v>
      </c>
      <c r="Q102">
        <v>12.73307</v>
      </c>
      <c r="R102">
        <v>1.2146600000000001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12.47302</v>
      </c>
      <c r="Y102">
        <v>1.46932</v>
      </c>
      <c r="Z102">
        <v>0</v>
      </c>
      <c r="AA102">
        <v>0</v>
      </c>
      <c r="AB102">
        <v>0</v>
      </c>
      <c r="AC102">
        <v>0</v>
      </c>
      <c r="AD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BA102">
        <v>1970</v>
      </c>
      <c r="BB102" t="s">
        <v>295</v>
      </c>
      <c r="BC102">
        <v>490.9</v>
      </c>
      <c r="BD102">
        <v>515.79999999999995</v>
      </c>
    </row>
    <row r="103" spans="1:56" x14ac:dyDescent="0.25">
      <c r="A103">
        <v>1970</v>
      </c>
      <c r="B103" t="s">
        <v>295</v>
      </c>
      <c r="C103">
        <v>12.59342</v>
      </c>
      <c r="D103">
        <v>0.99941000000000002</v>
      </c>
      <c r="E103">
        <v>0.33</v>
      </c>
      <c r="F103">
        <v>0</v>
      </c>
      <c r="G103">
        <v>0</v>
      </c>
      <c r="H103">
        <v>0</v>
      </c>
      <c r="I103">
        <v>2.1496</v>
      </c>
      <c r="J103">
        <v>12.215249999999999</v>
      </c>
      <c r="K103">
        <v>0.98716000000000004</v>
      </c>
      <c r="L103">
        <v>0.33</v>
      </c>
      <c r="M103">
        <v>0</v>
      </c>
      <c r="N103">
        <v>0</v>
      </c>
      <c r="O103">
        <v>0</v>
      </c>
      <c r="P103">
        <v>2.12784</v>
      </c>
      <c r="Q103">
        <v>13.01268</v>
      </c>
      <c r="R103">
        <v>0.44239000000000001</v>
      </c>
      <c r="S103">
        <v>0.33</v>
      </c>
      <c r="T103">
        <v>0</v>
      </c>
      <c r="U103">
        <v>0</v>
      </c>
      <c r="V103">
        <v>0</v>
      </c>
      <c r="W103">
        <v>1.1559200000000001</v>
      </c>
      <c r="X103">
        <v>13.34562</v>
      </c>
      <c r="Y103">
        <v>0.63605</v>
      </c>
      <c r="Z103">
        <v>0.33</v>
      </c>
      <c r="AA103">
        <v>0</v>
      </c>
      <c r="AB103">
        <v>0</v>
      </c>
      <c r="AC103">
        <v>0</v>
      </c>
      <c r="AD103">
        <v>2.40246</v>
      </c>
      <c r="AF103">
        <v>0.14000000000000001</v>
      </c>
      <c r="AG103">
        <v>212225</v>
      </c>
      <c r="AH103">
        <v>0</v>
      </c>
      <c r="AI103">
        <v>0</v>
      </c>
      <c r="AJ103">
        <v>0</v>
      </c>
      <c r="AK103">
        <v>0</v>
      </c>
      <c r="AL103">
        <v>0.13</v>
      </c>
      <c r="AM103">
        <v>206761</v>
      </c>
      <c r="AN103">
        <v>0</v>
      </c>
      <c r="AO103">
        <v>0</v>
      </c>
      <c r="AP103">
        <v>0</v>
      </c>
      <c r="AQ103">
        <v>0</v>
      </c>
      <c r="AR103">
        <v>0.14000000000000001</v>
      </c>
      <c r="AS103">
        <v>214822</v>
      </c>
      <c r="AT103">
        <v>0</v>
      </c>
      <c r="AU103">
        <v>0</v>
      </c>
      <c r="AV103">
        <v>0</v>
      </c>
      <c r="AW103">
        <v>0</v>
      </c>
      <c r="BA103">
        <v>1972</v>
      </c>
      <c r="BB103" t="s">
        <v>296</v>
      </c>
      <c r="BC103">
        <v>377</v>
      </c>
      <c r="BD103">
        <v>364</v>
      </c>
    </row>
    <row r="104" spans="1:56" x14ac:dyDescent="0.25">
      <c r="A104">
        <v>1972</v>
      </c>
      <c r="B104" t="s">
        <v>296</v>
      </c>
      <c r="C104">
        <v>7.9579899999999997</v>
      </c>
      <c r="D104">
        <v>0.91283000000000003</v>
      </c>
      <c r="E104">
        <v>0.33</v>
      </c>
      <c r="F104">
        <v>0</v>
      </c>
      <c r="G104">
        <v>0</v>
      </c>
      <c r="H104">
        <v>0</v>
      </c>
      <c r="I104">
        <v>2</v>
      </c>
      <c r="J104">
        <v>8.4119700000000002</v>
      </c>
      <c r="K104">
        <v>0.80223999999999995</v>
      </c>
      <c r="L104">
        <v>0.33</v>
      </c>
      <c r="M104">
        <v>0</v>
      </c>
      <c r="N104">
        <v>0</v>
      </c>
      <c r="O104">
        <v>0</v>
      </c>
      <c r="P104">
        <v>2</v>
      </c>
      <c r="Q104">
        <v>9.3845200000000002</v>
      </c>
      <c r="R104">
        <v>0.87382000000000004</v>
      </c>
      <c r="S104">
        <v>0.33</v>
      </c>
      <c r="T104">
        <v>0</v>
      </c>
      <c r="U104">
        <v>0</v>
      </c>
      <c r="V104">
        <v>0</v>
      </c>
      <c r="W104">
        <v>2</v>
      </c>
      <c r="X104">
        <v>9.6443899999999996</v>
      </c>
      <c r="Y104">
        <v>0.99985999999999997</v>
      </c>
      <c r="Z104">
        <v>0.33</v>
      </c>
      <c r="AA104">
        <v>0</v>
      </c>
      <c r="AB104">
        <v>0</v>
      </c>
      <c r="AC104">
        <v>0</v>
      </c>
      <c r="AD104">
        <v>2.0000100000000001</v>
      </c>
      <c r="AF104">
        <v>0.1</v>
      </c>
      <c r="AG104">
        <v>161060</v>
      </c>
      <c r="AH104">
        <v>0</v>
      </c>
      <c r="AI104">
        <v>0</v>
      </c>
      <c r="AJ104">
        <v>0</v>
      </c>
      <c r="AK104">
        <v>0</v>
      </c>
      <c r="AL104">
        <v>0.1</v>
      </c>
      <c r="AM104">
        <v>159496</v>
      </c>
      <c r="AN104">
        <v>0</v>
      </c>
      <c r="AO104">
        <v>0</v>
      </c>
      <c r="AP104">
        <v>0</v>
      </c>
      <c r="AQ104">
        <v>0</v>
      </c>
      <c r="AR104">
        <v>0.1</v>
      </c>
      <c r="AS104">
        <v>148696</v>
      </c>
      <c r="AT104">
        <v>0</v>
      </c>
      <c r="AU104">
        <v>0</v>
      </c>
      <c r="AV104">
        <v>0</v>
      </c>
      <c r="AW104">
        <v>0</v>
      </c>
      <c r="BA104">
        <v>1965</v>
      </c>
      <c r="BB104" t="s">
        <v>297</v>
      </c>
      <c r="BC104">
        <v>338</v>
      </c>
      <c r="BD104">
        <v>655</v>
      </c>
    </row>
    <row r="105" spans="1:56" x14ac:dyDescent="0.25">
      <c r="A105">
        <v>1975</v>
      </c>
      <c r="B105" t="s">
        <v>443</v>
      </c>
      <c r="C105">
        <v>9.0710800000000003</v>
      </c>
      <c r="D105">
        <v>1.49597</v>
      </c>
      <c r="E105">
        <v>0.33</v>
      </c>
      <c r="F105">
        <v>0</v>
      </c>
      <c r="G105">
        <v>0</v>
      </c>
      <c r="H105">
        <v>0</v>
      </c>
      <c r="I105">
        <v>2.2880500000000001</v>
      </c>
      <c r="J105">
        <v>9.6548300000000005</v>
      </c>
      <c r="K105">
        <v>1.1092599999999999</v>
      </c>
      <c r="L105">
        <v>0.33</v>
      </c>
      <c r="M105">
        <v>0</v>
      </c>
      <c r="N105">
        <v>0</v>
      </c>
      <c r="O105">
        <v>0</v>
      </c>
      <c r="P105">
        <v>2.1196199999999998</v>
      </c>
      <c r="Q105">
        <v>10.32424</v>
      </c>
      <c r="R105">
        <v>0.57674000000000003</v>
      </c>
      <c r="S105">
        <v>0.33</v>
      </c>
      <c r="T105">
        <v>0</v>
      </c>
      <c r="U105">
        <v>0</v>
      </c>
      <c r="V105">
        <v>0</v>
      </c>
      <c r="W105">
        <v>2.2185800000000002</v>
      </c>
      <c r="X105">
        <v>9.9719899999999999</v>
      </c>
      <c r="Y105">
        <v>0.62173</v>
      </c>
      <c r="Z105">
        <v>0.32957999999999998</v>
      </c>
      <c r="AA105">
        <v>0</v>
      </c>
      <c r="AB105">
        <v>0</v>
      </c>
      <c r="AC105">
        <v>0</v>
      </c>
      <c r="AD105">
        <v>2.59023</v>
      </c>
      <c r="AF105">
        <v>0.11</v>
      </c>
      <c r="AG105">
        <v>199618</v>
      </c>
      <c r="AH105">
        <v>0</v>
      </c>
      <c r="AI105">
        <v>0</v>
      </c>
      <c r="AJ105">
        <v>0</v>
      </c>
      <c r="AK105">
        <v>0</v>
      </c>
      <c r="AL105">
        <v>0.12</v>
      </c>
      <c r="AM105">
        <v>192735</v>
      </c>
      <c r="AN105">
        <v>0</v>
      </c>
      <c r="AO105">
        <v>0</v>
      </c>
      <c r="AP105">
        <v>0</v>
      </c>
      <c r="AQ105">
        <v>0</v>
      </c>
      <c r="AR105">
        <v>0.12</v>
      </c>
      <c r="AS105">
        <v>193785</v>
      </c>
      <c r="AT105">
        <v>0</v>
      </c>
      <c r="AU105">
        <v>0</v>
      </c>
      <c r="AV105">
        <v>0</v>
      </c>
      <c r="AW105">
        <v>0</v>
      </c>
      <c r="BA105">
        <v>657</v>
      </c>
      <c r="BB105" t="s">
        <v>298</v>
      </c>
      <c r="BC105">
        <v>886</v>
      </c>
      <c r="BD105">
        <v>857.1</v>
      </c>
    </row>
    <row r="106" spans="1:56" x14ac:dyDescent="0.25">
      <c r="A106">
        <v>1989</v>
      </c>
      <c r="B106" t="s">
        <v>299</v>
      </c>
      <c r="C106">
        <v>9.8047900000000006</v>
      </c>
      <c r="D106">
        <v>1.1477200000000001</v>
      </c>
      <c r="E106">
        <v>0.33</v>
      </c>
      <c r="F106">
        <v>0</v>
      </c>
      <c r="G106">
        <v>0</v>
      </c>
      <c r="H106">
        <v>0</v>
      </c>
      <c r="I106">
        <v>2.6718000000000002</v>
      </c>
      <c r="J106">
        <v>10.954420000000001</v>
      </c>
      <c r="K106">
        <v>1.28685</v>
      </c>
      <c r="L106">
        <v>0.33</v>
      </c>
      <c r="M106">
        <v>0</v>
      </c>
      <c r="N106">
        <v>0</v>
      </c>
      <c r="O106">
        <v>0</v>
      </c>
      <c r="P106">
        <v>1.4332499999999999</v>
      </c>
      <c r="Q106">
        <v>11.53731</v>
      </c>
      <c r="R106">
        <v>1.26309</v>
      </c>
      <c r="S106">
        <v>0.33</v>
      </c>
      <c r="T106">
        <v>0</v>
      </c>
      <c r="U106">
        <v>0</v>
      </c>
      <c r="V106">
        <v>0</v>
      </c>
      <c r="W106">
        <v>1.4939800000000001</v>
      </c>
      <c r="X106">
        <v>12.01929</v>
      </c>
      <c r="Y106">
        <v>0.84301999999999999</v>
      </c>
      <c r="Z106">
        <v>0.33</v>
      </c>
      <c r="AA106">
        <v>0</v>
      </c>
      <c r="AB106">
        <v>0</v>
      </c>
      <c r="AC106">
        <v>0</v>
      </c>
      <c r="AD106">
        <v>1.5313099999999999</v>
      </c>
      <c r="AF106">
        <v>0.08</v>
      </c>
      <c r="AG106">
        <v>141753</v>
      </c>
      <c r="AH106">
        <v>0</v>
      </c>
      <c r="AI106">
        <v>0</v>
      </c>
      <c r="AJ106">
        <v>0</v>
      </c>
      <c r="AK106">
        <v>0</v>
      </c>
      <c r="AL106">
        <v>0.08</v>
      </c>
      <c r="AM106">
        <v>138839</v>
      </c>
      <c r="AN106">
        <v>0</v>
      </c>
      <c r="AO106">
        <v>0</v>
      </c>
      <c r="AP106">
        <v>0</v>
      </c>
      <c r="AQ106">
        <v>0</v>
      </c>
      <c r="AR106">
        <v>0.08</v>
      </c>
      <c r="AS106">
        <v>121037</v>
      </c>
      <c r="AT106">
        <v>0</v>
      </c>
      <c r="AU106">
        <v>0</v>
      </c>
      <c r="AV106">
        <v>0</v>
      </c>
      <c r="AW106">
        <v>0</v>
      </c>
      <c r="BA106">
        <v>1989</v>
      </c>
      <c r="BB106" t="s">
        <v>299</v>
      </c>
      <c r="BC106">
        <v>430.1</v>
      </c>
      <c r="BD106">
        <v>414</v>
      </c>
    </row>
    <row r="107" spans="1:56" x14ac:dyDescent="0.25">
      <c r="A107">
        <v>2007</v>
      </c>
      <c r="B107" t="s">
        <v>300</v>
      </c>
      <c r="C107">
        <v>12.362539999999999</v>
      </c>
      <c r="D107">
        <v>2.1544300000000001</v>
      </c>
      <c r="E107">
        <v>0.33</v>
      </c>
      <c r="F107">
        <v>1.34</v>
      </c>
      <c r="G107">
        <v>0</v>
      </c>
      <c r="H107">
        <v>0</v>
      </c>
      <c r="I107">
        <v>0</v>
      </c>
      <c r="J107">
        <v>13.82634</v>
      </c>
      <c r="K107">
        <v>1.70824</v>
      </c>
      <c r="L107">
        <v>0.33</v>
      </c>
      <c r="M107">
        <v>1.34</v>
      </c>
      <c r="N107">
        <v>0</v>
      </c>
      <c r="O107">
        <v>0</v>
      </c>
      <c r="P107">
        <v>0</v>
      </c>
      <c r="Q107">
        <v>15.031639999999999</v>
      </c>
      <c r="R107">
        <v>1.9134</v>
      </c>
      <c r="S107">
        <v>0.33</v>
      </c>
      <c r="T107">
        <v>0</v>
      </c>
      <c r="U107">
        <v>0</v>
      </c>
      <c r="V107">
        <v>0</v>
      </c>
      <c r="W107">
        <v>0</v>
      </c>
      <c r="X107">
        <v>15.599069999999999</v>
      </c>
      <c r="Y107">
        <v>2.0230999999999999</v>
      </c>
      <c r="Z107">
        <v>0.33</v>
      </c>
      <c r="AA107">
        <v>0</v>
      </c>
      <c r="AB107">
        <v>0</v>
      </c>
      <c r="AC107">
        <v>0</v>
      </c>
      <c r="AD107">
        <v>0</v>
      </c>
      <c r="AF107">
        <v>7.0000000000000007E-2</v>
      </c>
      <c r="AG107">
        <v>183402</v>
      </c>
      <c r="AH107">
        <v>0</v>
      </c>
      <c r="AI107">
        <v>0</v>
      </c>
      <c r="AJ107">
        <v>0</v>
      </c>
      <c r="AK107">
        <v>0</v>
      </c>
      <c r="AL107">
        <v>7.0000000000000007E-2</v>
      </c>
      <c r="AM107">
        <v>183265</v>
      </c>
      <c r="AN107">
        <v>0</v>
      </c>
      <c r="AO107">
        <v>0</v>
      </c>
      <c r="AP107">
        <v>0</v>
      </c>
      <c r="AQ107">
        <v>0</v>
      </c>
      <c r="AR107">
        <v>0.1</v>
      </c>
      <c r="AS107">
        <v>247679</v>
      </c>
      <c r="AT107">
        <v>0</v>
      </c>
      <c r="AU107">
        <v>0</v>
      </c>
      <c r="AV107">
        <v>0</v>
      </c>
      <c r="AW107">
        <v>0</v>
      </c>
      <c r="BA107">
        <v>2007</v>
      </c>
      <c r="BB107" t="s">
        <v>300</v>
      </c>
      <c r="BC107">
        <v>645.70000000000005</v>
      </c>
      <c r="BD107">
        <v>631</v>
      </c>
    </row>
    <row r="108" spans="1:56" x14ac:dyDescent="0.25">
      <c r="A108">
        <v>2088</v>
      </c>
      <c r="B108" t="s">
        <v>301</v>
      </c>
      <c r="C108">
        <v>9.3735700000000008</v>
      </c>
      <c r="D108">
        <v>0.96948000000000001</v>
      </c>
      <c r="E108">
        <v>0.33</v>
      </c>
      <c r="F108">
        <v>0.61021000000000003</v>
      </c>
      <c r="G108">
        <v>0</v>
      </c>
      <c r="H108">
        <v>0</v>
      </c>
      <c r="I108">
        <v>0</v>
      </c>
      <c r="J108">
        <v>10.02819</v>
      </c>
      <c r="K108">
        <v>0.95165999999999995</v>
      </c>
      <c r="L108">
        <v>0.33</v>
      </c>
      <c r="M108">
        <v>0.67</v>
      </c>
      <c r="N108">
        <v>0</v>
      </c>
      <c r="O108">
        <v>0</v>
      </c>
      <c r="P108">
        <v>0</v>
      </c>
      <c r="Q108">
        <v>10.912050000000001</v>
      </c>
      <c r="R108">
        <v>0.78527999999999998</v>
      </c>
      <c r="S108">
        <v>0.33</v>
      </c>
      <c r="T108">
        <v>0.79029000000000005</v>
      </c>
      <c r="U108">
        <v>0</v>
      </c>
      <c r="V108">
        <v>0</v>
      </c>
      <c r="W108">
        <v>0</v>
      </c>
      <c r="X108">
        <v>10.513529999999999</v>
      </c>
      <c r="Y108">
        <v>0.86372000000000004</v>
      </c>
      <c r="Z108">
        <v>0.33</v>
      </c>
      <c r="AA108">
        <v>0.82211999999999996</v>
      </c>
      <c r="AB108">
        <v>0</v>
      </c>
      <c r="AC108">
        <v>0</v>
      </c>
      <c r="AD108">
        <v>0</v>
      </c>
      <c r="AF108">
        <v>7.0000000000000007E-2</v>
      </c>
      <c r="AG108">
        <v>256959</v>
      </c>
      <c r="AH108">
        <v>0</v>
      </c>
      <c r="AI108">
        <v>0</v>
      </c>
      <c r="AJ108">
        <v>0.05</v>
      </c>
      <c r="AK108">
        <v>183542</v>
      </c>
      <c r="AL108">
        <v>7.0000000000000007E-2</v>
      </c>
      <c r="AM108">
        <v>234434</v>
      </c>
      <c r="AN108">
        <v>0</v>
      </c>
      <c r="AO108">
        <v>0</v>
      </c>
      <c r="AP108">
        <v>0.05</v>
      </c>
      <c r="AQ108">
        <v>167453</v>
      </c>
      <c r="AR108">
        <v>7.0000000000000007E-2</v>
      </c>
      <c r="AS108">
        <v>218943</v>
      </c>
      <c r="AT108">
        <v>0</v>
      </c>
      <c r="AU108">
        <v>0</v>
      </c>
      <c r="AV108">
        <v>0.05</v>
      </c>
      <c r="AW108">
        <v>156388</v>
      </c>
      <c r="BA108">
        <v>2088</v>
      </c>
      <c r="BB108" t="s">
        <v>301</v>
      </c>
      <c r="BC108">
        <v>667.5</v>
      </c>
      <c r="BD108">
        <v>668.8</v>
      </c>
    </row>
    <row r="109" spans="1:56" x14ac:dyDescent="0.25">
      <c r="A109">
        <v>2097</v>
      </c>
      <c r="B109" t="s">
        <v>603</v>
      </c>
      <c r="C109">
        <v>9.3604000000000003</v>
      </c>
      <c r="D109">
        <v>1.4356599999999999</v>
      </c>
      <c r="E109">
        <v>0.33</v>
      </c>
      <c r="F109">
        <v>5.2729999999999999E-2</v>
      </c>
      <c r="G109">
        <v>0</v>
      </c>
      <c r="H109">
        <v>0</v>
      </c>
      <c r="I109">
        <v>1.97994</v>
      </c>
      <c r="J109">
        <v>10.122159999999999</v>
      </c>
      <c r="K109">
        <v>1.4637800000000001</v>
      </c>
      <c r="L109">
        <v>0</v>
      </c>
      <c r="M109">
        <v>0.10587000000000001</v>
      </c>
      <c r="N109">
        <v>0</v>
      </c>
      <c r="O109">
        <v>0</v>
      </c>
      <c r="P109">
        <v>1.9847399999999999</v>
      </c>
      <c r="Q109">
        <v>12.36116</v>
      </c>
      <c r="R109">
        <v>1.0990200000000001</v>
      </c>
      <c r="S109">
        <v>0</v>
      </c>
      <c r="T109">
        <v>0.12261</v>
      </c>
      <c r="U109">
        <v>0</v>
      </c>
      <c r="V109">
        <v>0</v>
      </c>
      <c r="W109">
        <v>2.0571899999999999</v>
      </c>
      <c r="X109">
        <v>12.33178</v>
      </c>
      <c r="Y109">
        <v>1.13696</v>
      </c>
      <c r="Z109">
        <v>0</v>
      </c>
      <c r="AA109">
        <v>0.11928</v>
      </c>
      <c r="AB109">
        <v>0</v>
      </c>
      <c r="AC109">
        <v>0</v>
      </c>
      <c r="AD109">
        <v>2.2257400000000001</v>
      </c>
      <c r="AF109">
        <v>0.12</v>
      </c>
      <c r="AG109">
        <v>231235</v>
      </c>
      <c r="AH109">
        <v>0</v>
      </c>
      <c r="AI109">
        <v>0</v>
      </c>
      <c r="AJ109">
        <v>0.05</v>
      </c>
      <c r="AK109">
        <v>96348</v>
      </c>
      <c r="AL109">
        <v>0.14000000000000001</v>
      </c>
      <c r="AM109">
        <v>251025</v>
      </c>
      <c r="AN109">
        <v>0</v>
      </c>
      <c r="AO109">
        <v>0</v>
      </c>
      <c r="AP109">
        <v>0.05</v>
      </c>
      <c r="AQ109">
        <v>89652</v>
      </c>
      <c r="AR109">
        <v>0.14000000000000001</v>
      </c>
      <c r="AS109">
        <v>244126</v>
      </c>
      <c r="AT109">
        <v>0</v>
      </c>
      <c r="AU109">
        <v>0</v>
      </c>
      <c r="AV109">
        <v>0.05</v>
      </c>
      <c r="AW109">
        <v>87188</v>
      </c>
      <c r="BA109">
        <v>2097</v>
      </c>
      <c r="BB109" t="s">
        <v>603</v>
      </c>
      <c r="BC109">
        <v>466.9</v>
      </c>
      <c r="BD109">
        <v>458.8</v>
      </c>
    </row>
    <row r="110" spans="1:56" x14ac:dyDescent="0.25">
      <c r="A110">
        <v>2113</v>
      </c>
      <c r="B110" t="s">
        <v>303</v>
      </c>
      <c r="C110">
        <v>11.71232</v>
      </c>
      <c r="D110">
        <v>1.08961</v>
      </c>
      <c r="E110">
        <v>0.33</v>
      </c>
      <c r="F110">
        <v>0</v>
      </c>
      <c r="G110">
        <v>0</v>
      </c>
      <c r="H110">
        <v>0</v>
      </c>
      <c r="I110">
        <v>0</v>
      </c>
      <c r="J110">
        <v>10.75914</v>
      </c>
      <c r="K110">
        <v>1.8738900000000001</v>
      </c>
      <c r="L110">
        <v>0.33</v>
      </c>
      <c r="M110">
        <v>0</v>
      </c>
      <c r="N110">
        <v>0</v>
      </c>
      <c r="O110">
        <v>0</v>
      </c>
      <c r="P110">
        <v>0</v>
      </c>
      <c r="Q110">
        <v>10.353960000000001</v>
      </c>
      <c r="R110">
        <v>1.6331</v>
      </c>
      <c r="S110">
        <v>0.33</v>
      </c>
      <c r="T110">
        <v>0</v>
      </c>
      <c r="U110">
        <v>0</v>
      </c>
      <c r="V110">
        <v>0</v>
      </c>
      <c r="W110">
        <v>0</v>
      </c>
      <c r="X110">
        <v>13.33948</v>
      </c>
      <c r="Y110">
        <v>0.93054000000000003</v>
      </c>
      <c r="Z110">
        <v>0.33</v>
      </c>
      <c r="AA110">
        <v>0</v>
      </c>
      <c r="AB110">
        <v>0</v>
      </c>
      <c r="AC110">
        <v>0</v>
      </c>
      <c r="AD110">
        <v>0</v>
      </c>
      <c r="AF110">
        <v>0.1</v>
      </c>
      <c r="AG110">
        <v>110137</v>
      </c>
      <c r="AH110">
        <v>0</v>
      </c>
      <c r="AI110">
        <v>0</v>
      </c>
      <c r="AJ110">
        <v>0</v>
      </c>
      <c r="AK110">
        <v>0</v>
      </c>
      <c r="AL110">
        <v>0.1</v>
      </c>
      <c r="AM110">
        <v>109372</v>
      </c>
      <c r="AN110">
        <v>0</v>
      </c>
      <c r="AO110">
        <v>0</v>
      </c>
      <c r="AP110">
        <v>0</v>
      </c>
      <c r="AQ110">
        <v>0</v>
      </c>
      <c r="AR110">
        <v>0.1</v>
      </c>
      <c r="AS110">
        <v>94210</v>
      </c>
      <c r="AT110">
        <v>0</v>
      </c>
      <c r="AU110">
        <v>0</v>
      </c>
      <c r="AV110">
        <v>0</v>
      </c>
      <c r="AW110">
        <v>0</v>
      </c>
      <c r="BA110">
        <v>2113</v>
      </c>
      <c r="BB110" t="s">
        <v>303</v>
      </c>
      <c r="BC110">
        <v>215.2</v>
      </c>
      <c r="BD110">
        <v>236.8</v>
      </c>
    </row>
    <row r="111" spans="1:56" x14ac:dyDescent="0.25">
      <c r="A111">
        <v>2124</v>
      </c>
      <c r="B111" t="s">
        <v>304</v>
      </c>
      <c r="C111">
        <v>11.855700000000001</v>
      </c>
      <c r="D111">
        <v>1.0568500000000001</v>
      </c>
      <c r="E111">
        <v>0.33</v>
      </c>
      <c r="F111">
        <v>1.34</v>
      </c>
      <c r="G111">
        <v>0</v>
      </c>
      <c r="H111">
        <v>0</v>
      </c>
      <c r="I111">
        <v>1.9558199999999999</v>
      </c>
      <c r="J111">
        <v>11.110889999999999</v>
      </c>
      <c r="K111">
        <v>1.2136400000000001</v>
      </c>
      <c r="L111">
        <v>0.33</v>
      </c>
      <c r="M111">
        <v>1</v>
      </c>
      <c r="N111">
        <v>0</v>
      </c>
      <c r="O111">
        <v>0</v>
      </c>
      <c r="P111">
        <v>1.91564</v>
      </c>
      <c r="Q111">
        <v>11.236840000000001</v>
      </c>
      <c r="R111">
        <v>1.9835</v>
      </c>
      <c r="S111">
        <v>0.33</v>
      </c>
      <c r="T111">
        <v>1</v>
      </c>
      <c r="U111">
        <v>0</v>
      </c>
      <c r="V111">
        <v>0</v>
      </c>
      <c r="W111">
        <v>1.9939199999999999</v>
      </c>
      <c r="X111">
        <v>11.72939</v>
      </c>
      <c r="Y111">
        <v>1.9641299999999999</v>
      </c>
      <c r="Z111">
        <v>0.33</v>
      </c>
      <c r="AA111">
        <v>1</v>
      </c>
      <c r="AB111">
        <v>0</v>
      </c>
      <c r="AC111">
        <v>0</v>
      </c>
      <c r="AD111">
        <v>1.4503200000000001</v>
      </c>
      <c r="AF111">
        <v>0.09</v>
      </c>
      <c r="AG111">
        <v>531584</v>
      </c>
      <c r="AH111">
        <v>0</v>
      </c>
      <c r="AI111">
        <v>0</v>
      </c>
      <c r="AJ111">
        <v>0</v>
      </c>
      <c r="AK111">
        <v>0</v>
      </c>
      <c r="AL111">
        <v>0.1</v>
      </c>
      <c r="AM111">
        <v>548340</v>
      </c>
      <c r="AN111">
        <v>0</v>
      </c>
      <c r="AO111">
        <v>0</v>
      </c>
      <c r="AP111">
        <v>0</v>
      </c>
      <c r="AQ111">
        <v>0</v>
      </c>
      <c r="AR111">
        <v>0.1</v>
      </c>
      <c r="AS111">
        <v>529359</v>
      </c>
      <c r="AT111">
        <v>0</v>
      </c>
      <c r="AU111">
        <v>0</v>
      </c>
      <c r="AV111">
        <v>0</v>
      </c>
      <c r="AW111">
        <v>0</v>
      </c>
      <c r="BA111">
        <v>2124</v>
      </c>
      <c r="BB111" t="s">
        <v>304</v>
      </c>
      <c r="BC111">
        <v>1351</v>
      </c>
      <c r="BD111">
        <v>1376.8</v>
      </c>
    </row>
    <row r="112" spans="1:56" x14ac:dyDescent="0.25">
      <c r="A112">
        <v>2151</v>
      </c>
      <c r="B112" t="s">
        <v>305</v>
      </c>
      <c r="C112">
        <v>8.5241100000000003</v>
      </c>
      <c r="D112">
        <v>1.1490400000000001</v>
      </c>
      <c r="E112">
        <v>0</v>
      </c>
      <c r="F112">
        <v>0.99885000000000002</v>
      </c>
      <c r="G112">
        <v>0</v>
      </c>
      <c r="H112">
        <v>0</v>
      </c>
      <c r="I112">
        <v>2.4034599999999999</v>
      </c>
      <c r="J112">
        <v>11.851789999999999</v>
      </c>
      <c r="K112">
        <v>0.71626999999999996</v>
      </c>
      <c r="L112">
        <v>0.33</v>
      </c>
      <c r="M112">
        <v>1.34</v>
      </c>
      <c r="N112">
        <v>0</v>
      </c>
      <c r="O112">
        <v>0</v>
      </c>
      <c r="P112">
        <v>0</v>
      </c>
      <c r="Q112">
        <v>14.54396</v>
      </c>
      <c r="R112">
        <v>0.49987999999999999</v>
      </c>
      <c r="S112">
        <v>0</v>
      </c>
      <c r="T112">
        <v>1.34</v>
      </c>
      <c r="U112">
        <v>0</v>
      </c>
      <c r="V112">
        <v>0</v>
      </c>
      <c r="W112">
        <v>0</v>
      </c>
      <c r="X112">
        <v>15.8574</v>
      </c>
      <c r="Y112">
        <v>0.83391999999999999</v>
      </c>
      <c r="Z112">
        <v>0.33</v>
      </c>
      <c r="AA112">
        <v>1.34</v>
      </c>
      <c r="AB112">
        <v>0</v>
      </c>
      <c r="AC112">
        <v>0</v>
      </c>
      <c r="AD112">
        <v>0</v>
      </c>
      <c r="AF112">
        <v>0.08</v>
      </c>
      <c r="AG112">
        <v>114559</v>
      </c>
      <c r="AH112">
        <v>0</v>
      </c>
      <c r="AI112">
        <v>0</v>
      </c>
      <c r="AJ112">
        <v>0</v>
      </c>
      <c r="AK112">
        <v>0</v>
      </c>
      <c r="AL112">
        <v>0.08</v>
      </c>
      <c r="AM112">
        <v>116697</v>
      </c>
      <c r="AN112">
        <v>0</v>
      </c>
      <c r="AO112">
        <v>0</v>
      </c>
      <c r="AP112">
        <v>0</v>
      </c>
      <c r="AQ112">
        <v>0</v>
      </c>
      <c r="AR112">
        <v>0.09</v>
      </c>
      <c r="AS112">
        <v>103071</v>
      </c>
      <c r="AT112">
        <v>0</v>
      </c>
      <c r="AU112">
        <v>0</v>
      </c>
      <c r="AV112">
        <v>0</v>
      </c>
      <c r="AW112">
        <v>0</v>
      </c>
      <c r="BA112">
        <v>2151</v>
      </c>
      <c r="BB112" t="s">
        <v>305</v>
      </c>
      <c r="BC112">
        <v>223.3</v>
      </c>
      <c r="BD112">
        <v>216.7</v>
      </c>
    </row>
    <row r="113" spans="1:56" x14ac:dyDescent="0.25">
      <c r="A113">
        <v>2169</v>
      </c>
      <c r="B113" t="s">
        <v>306</v>
      </c>
      <c r="C113">
        <v>8.8124000000000002</v>
      </c>
      <c r="D113">
        <v>1.4953000000000001</v>
      </c>
      <c r="E113">
        <v>0.33</v>
      </c>
      <c r="F113">
        <v>0.67</v>
      </c>
      <c r="G113">
        <v>0</v>
      </c>
      <c r="H113">
        <v>0</v>
      </c>
      <c r="I113">
        <v>2.6988300000000001</v>
      </c>
      <c r="J113">
        <v>11.35873</v>
      </c>
      <c r="K113">
        <v>1.03294</v>
      </c>
      <c r="L113">
        <v>0.33</v>
      </c>
      <c r="M113">
        <v>0.67</v>
      </c>
      <c r="N113">
        <v>0</v>
      </c>
      <c r="O113">
        <v>0</v>
      </c>
      <c r="P113">
        <v>0.95555000000000001</v>
      </c>
      <c r="Q113">
        <v>13.04739</v>
      </c>
      <c r="R113">
        <v>1.2614700000000001</v>
      </c>
      <c r="S113">
        <v>0.33</v>
      </c>
      <c r="T113">
        <v>0.67</v>
      </c>
      <c r="U113">
        <v>0</v>
      </c>
      <c r="V113">
        <v>0</v>
      </c>
      <c r="W113">
        <v>0</v>
      </c>
      <c r="X113">
        <v>13.702719999999999</v>
      </c>
      <c r="Y113">
        <v>1.1149800000000001</v>
      </c>
      <c r="Z113">
        <v>0</v>
      </c>
      <c r="AA113">
        <v>0.67</v>
      </c>
      <c r="AB113">
        <v>0</v>
      </c>
      <c r="AC113">
        <v>0</v>
      </c>
      <c r="AD113">
        <v>0</v>
      </c>
      <c r="AF113">
        <v>0.04</v>
      </c>
      <c r="AG113">
        <v>454416</v>
      </c>
      <c r="AH113">
        <v>0</v>
      </c>
      <c r="AI113">
        <v>0</v>
      </c>
      <c r="AJ113">
        <v>0</v>
      </c>
      <c r="AK113">
        <v>0</v>
      </c>
      <c r="AL113">
        <v>0.04</v>
      </c>
      <c r="AM113">
        <v>413941</v>
      </c>
      <c r="AN113">
        <v>0</v>
      </c>
      <c r="AO113">
        <v>0</v>
      </c>
      <c r="AP113">
        <v>0</v>
      </c>
      <c r="AQ113">
        <v>0</v>
      </c>
      <c r="AR113">
        <v>0.04</v>
      </c>
      <c r="AS113">
        <v>384639</v>
      </c>
      <c r="AT113">
        <v>0</v>
      </c>
      <c r="AU113">
        <v>0</v>
      </c>
      <c r="AV113">
        <v>0</v>
      </c>
      <c r="AW113">
        <v>0</v>
      </c>
      <c r="BA113">
        <v>2169</v>
      </c>
      <c r="BB113" t="s">
        <v>306</v>
      </c>
      <c r="BC113">
        <v>1694.6</v>
      </c>
      <c r="BD113">
        <v>1660.2</v>
      </c>
    </row>
    <row r="114" spans="1:56" x14ac:dyDescent="0.25">
      <c r="A114">
        <v>2295</v>
      </c>
      <c r="B114" t="s">
        <v>308</v>
      </c>
      <c r="C114">
        <v>10.71805</v>
      </c>
      <c r="D114">
        <v>1.30223</v>
      </c>
      <c r="E114">
        <v>0.33</v>
      </c>
      <c r="F114">
        <v>0</v>
      </c>
      <c r="G114">
        <v>0</v>
      </c>
      <c r="H114">
        <v>0</v>
      </c>
      <c r="I114">
        <v>0.90239999999999998</v>
      </c>
      <c r="J114">
        <v>11.476050000000001</v>
      </c>
      <c r="K114">
        <v>0.8669</v>
      </c>
      <c r="L114">
        <v>0.33</v>
      </c>
      <c r="M114">
        <v>0</v>
      </c>
      <c r="N114">
        <v>0</v>
      </c>
      <c r="O114">
        <v>0</v>
      </c>
      <c r="P114">
        <v>0.89756999999999998</v>
      </c>
      <c r="Q114">
        <v>13.25427</v>
      </c>
      <c r="R114">
        <v>1.1247</v>
      </c>
      <c r="S114">
        <v>0.33</v>
      </c>
      <c r="T114">
        <v>0</v>
      </c>
      <c r="U114">
        <v>0</v>
      </c>
      <c r="V114">
        <v>0</v>
      </c>
      <c r="W114">
        <v>1.0380799999999999</v>
      </c>
      <c r="X114">
        <v>13.853400000000001</v>
      </c>
      <c r="Y114">
        <v>0.97163999999999995</v>
      </c>
      <c r="Z114">
        <v>0.33</v>
      </c>
      <c r="AA114">
        <v>0</v>
      </c>
      <c r="AB114">
        <v>0</v>
      </c>
      <c r="AC114">
        <v>0</v>
      </c>
      <c r="AD114">
        <v>1.1108100000000001</v>
      </c>
      <c r="AF114">
        <v>0.09</v>
      </c>
      <c r="AG114">
        <v>501451</v>
      </c>
      <c r="AH114">
        <v>0</v>
      </c>
      <c r="AI114">
        <v>0</v>
      </c>
      <c r="AJ114">
        <v>0</v>
      </c>
      <c r="AK114">
        <v>0</v>
      </c>
      <c r="AL114">
        <v>0.08</v>
      </c>
      <c r="AM114">
        <v>431531</v>
      </c>
      <c r="AN114">
        <v>0</v>
      </c>
      <c r="AO114">
        <v>0</v>
      </c>
      <c r="AP114">
        <v>0</v>
      </c>
      <c r="AQ114">
        <v>0</v>
      </c>
      <c r="AR114">
        <v>0.09</v>
      </c>
      <c r="AS114">
        <v>466504</v>
      </c>
      <c r="AT114">
        <v>0</v>
      </c>
      <c r="AU114">
        <v>0</v>
      </c>
      <c r="AV114">
        <v>0</v>
      </c>
      <c r="AW114">
        <v>0</v>
      </c>
      <c r="BA114">
        <v>2295</v>
      </c>
      <c r="BB114" t="s">
        <v>308</v>
      </c>
      <c r="BC114">
        <v>994.7</v>
      </c>
      <c r="BD114">
        <v>1105.4000000000001</v>
      </c>
    </row>
    <row r="115" spans="1:56" x14ac:dyDescent="0.25">
      <c r="A115">
        <v>2313</v>
      </c>
      <c r="B115" t="s">
        <v>309</v>
      </c>
      <c r="C115">
        <v>12.804460000000001</v>
      </c>
      <c r="D115">
        <v>1.22963</v>
      </c>
      <c r="E115">
        <v>0.33</v>
      </c>
      <c r="F115">
        <v>1.09345</v>
      </c>
      <c r="G115">
        <v>0</v>
      </c>
      <c r="H115">
        <v>0</v>
      </c>
      <c r="I115">
        <v>0</v>
      </c>
      <c r="J115">
        <v>12.022790000000001</v>
      </c>
      <c r="K115">
        <v>2.43574</v>
      </c>
      <c r="L115">
        <v>0.33</v>
      </c>
      <c r="M115">
        <v>0.67</v>
      </c>
      <c r="N115">
        <v>0</v>
      </c>
      <c r="O115">
        <v>0</v>
      </c>
      <c r="P115">
        <v>0</v>
      </c>
      <c r="Q115">
        <v>12.76291</v>
      </c>
      <c r="R115">
        <v>1.72698</v>
      </c>
      <c r="S115">
        <v>0.33</v>
      </c>
      <c r="T115">
        <v>0.67</v>
      </c>
      <c r="U115">
        <v>0</v>
      </c>
      <c r="V115">
        <v>0</v>
      </c>
      <c r="W115">
        <v>0</v>
      </c>
      <c r="X115">
        <v>15.31879</v>
      </c>
      <c r="Y115">
        <v>1.07741</v>
      </c>
      <c r="Z115">
        <v>0.33</v>
      </c>
      <c r="AA115">
        <v>0.67</v>
      </c>
      <c r="AB115">
        <v>0</v>
      </c>
      <c r="AC115">
        <v>0</v>
      </c>
      <c r="AD115">
        <v>0</v>
      </c>
      <c r="AF115">
        <v>0.03</v>
      </c>
      <c r="AG115">
        <v>625876</v>
      </c>
      <c r="AH115">
        <v>0</v>
      </c>
      <c r="AI115">
        <v>0</v>
      </c>
      <c r="AJ115">
        <v>0</v>
      </c>
      <c r="AK115">
        <v>0</v>
      </c>
      <c r="AL115">
        <v>0.03</v>
      </c>
      <c r="AM115">
        <v>596956</v>
      </c>
      <c r="AN115">
        <v>0</v>
      </c>
      <c r="AO115">
        <v>0</v>
      </c>
      <c r="AP115">
        <v>0</v>
      </c>
      <c r="AQ115">
        <v>0</v>
      </c>
      <c r="AR115">
        <v>0.03</v>
      </c>
      <c r="AS115">
        <v>633505</v>
      </c>
      <c r="AT115">
        <v>0</v>
      </c>
      <c r="AU115">
        <v>0</v>
      </c>
      <c r="AV115">
        <v>0</v>
      </c>
      <c r="AW115">
        <v>0</v>
      </c>
      <c r="BA115">
        <v>2313</v>
      </c>
      <c r="BB115" t="s">
        <v>309</v>
      </c>
      <c r="BC115">
        <v>3711.8</v>
      </c>
      <c r="BD115">
        <v>3729.9</v>
      </c>
    </row>
    <row r="116" spans="1:56" x14ac:dyDescent="0.25">
      <c r="A116">
        <v>2322</v>
      </c>
      <c r="B116" t="s">
        <v>310</v>
      </c>
      <c r="C116">
        <v>11.58731</v>
      </c>
      <c r="D116">
        <v>0.46772000000000002</v>
      </c>
      <c r="E116">
        <v>0.33</v>
      </c>
      <c r="F116">
        <v>0</v>
      </c>
      <c r="G116">
        <v>0</v>
      </c>
      <c r="H116">
        <v>0</v>
      </c>
      <c r="I116">
        <v>0</v>
      </c>
      <c r="J116">
        <v>10.873810000000001</v>
      </c>
      <c r="K116">
        <v>0.66752</v>
      </c>
      <c r="L116">
        <v>0.33</v>
      </c>
      <c r="M116">
        <v>0</v>
      </c>
      <c r="N116">
        <v>0</v>
      </c>
      <c r="O116">
        <v>0</v>
      </c>
      <c r="P116">
        <v>0</v>
      </c>
      <c r="Q116">
        <v>12.63697</v>
      </c>
      <c r="R116">
        <v>0.82157999999999998</v>
      </c>
      <c r="S116">
        <v>0.33</v>
      </c>
      <c r="T116">
        <v>0</v>
      </c>
      <c r="U116">
        <v>0</v>
      </c>
      <c r="V116">
        <v>0</v>
      </c>
      <c r="W116">
        <v>0</v>
      </c>
      <c r="X116">
        <v>13.13391</v>
      </c>
      <c r="Y116">
        <v>1.1458200000000001</v>
      </c>
      <c r="Z116">
        <v>0.33</v>
      </c>
      <c r="AA116">
        <v>0</v>
      </c>
      <c r="AB116">
        <v>0</v>
      </c>
      <c r="AC116">
        <v>0</v>
      </c>
      <c r="AD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BA116">
        <v>2322</v>
      </c>
      <c r="BB116" t="s">
        <v>310</v>
      </c>
      <c r="BC116">
        <v>2268.1999999999998</v>
      </c>
      <c r="BD116">
        <v>2226.3000000000002</v>
      </c>
    </row>
    <row r="117" spans="1:56" x14ac:dyDescent="0.25">
      <c r="A117">
        <v>2369</v>
      </c>
      <c r="B117" t="s">
        <v>311</v>
      </c>
      <c r="C117">
        <v>8.7939900000000009</v>
      </c>
      <c r="D117">
        <v>0.40981000000000001</v>
      </c>
      <c r="E117">
        <v>0.33</v>
      </c>
      <c r="F117">
        <v>0.53985000000000005</v>
      </c>
      <c r="G117">
        <v>0</v>
      </c>
      <c r="H117">
        <v>0</v>
      </c>
      <c r="I117">
        <v>0.92174999999999996</v>
      </c>
      <c r="J117">
        <v>8.9476800000000001</v>
      </c>
      <c r="K117">
        <v>0.51758000000000004</v>
      </c>
      <c r="L117">
        <v>0.33</v>
      </c>
      <c r="M117">
        <v>0.56467000000000001</v>
      </c>
      <c r="N117">
        <v>0</v>
      </c>
      <c r="O117">
        <v>0</v>
      </c>
      <c r="P117">
        <v>1.0367</v>
      </c>
      <c r="Q117">
        <v>9.0399899999999995</v>
      </c>
      <c r="R117">
        <v>0.35327999999999998</v>
      </c>
      <c r="S117">
        <v>0.33</v>
      </c>
      <c r="T117">
        <v>0.62799000000000005</v>
      </c>
      <c r="U117">
        <v>0</v>
      </c>
      <c r="V117">
        <v>0</v>
      </c>
      <c r="W117">
        <v>1.01109</v>
      </c>
      <c r="X117">
        <v>11.589219999999999</v>
      </c>
      <c r="Y117">
        <v>0.59248999999999996</v>
      </c>
      <c r="Z117">
        <v>0.33</v>
      </c>
      <c r="AA117">
        <v>0.63695999999999997</v>
      </c>
      <c r="AB117">
        <v>0</v>
      </c>
      <c r="AC117">
        <v>0</v>
      </c>
      <c r="AD117">
        <v>1.4875499999999999</v>
      </c>
      <c r="AF117">
        <v>0.1</v>
      </c>
      <c r="AG117">
        <v>187248</v>
      </c>
      <c r="AH117">
        <v>0</v>
      </c>
      <c r="AI117">
        <v>0</v>
      </c>
      <c r="AJ117">
        <v>0.06</v>
      </c>
      <c r="AK117">
        <v>112349</v>
      </c>
      <c r="AL117">
        <v>0.1</v>
      </c>
      <c r="AM117">
        <v>167954</v>
      </c>
      <c r="AN117">
        <v>0</v>
      </c>
      <c r="AO117">
        <v>0</v>
      </c>
      <c r="AP117">
        <v>0.06</v>
      </c>
      <c r="AQ117">
        <v>100772</v>
      </c>
      <c r="AR117">
        <v>0.1</v>
      </c>
      <c r="AS117">
        <v>177988</v>
      </c>
      <c r="AT117">
        <v>0</v>
      </c>
      <c r="AU117">
        <v>0</v>
      </c>
      <c r="AV117">
        <v>0.05</v>
      </c>
      <c r="AW117">
        <v>88994</v>
      </c>
      <c r="BA117">
        <v>2369</v>
      </c>
      <c r="BB117" t="s">
        <v>311</v>
      </c>
      <c r="BC117">
        <v>446.6</v>
      </c>
      <c r="BD117">
        <v>449</v>
      </c>
    </row>
    <row r="118" spans="1:56" x14ac:dyDescent="0.25">
      <c r="A118">
        <v>2376</v>
      </c>
      <c r="B118" t="s">
        <v>313</v>
      </c>
      <c r="C118">
        <v>9.2972199999999994</v>
      </c>
      <c r="D118">
        <v>0.55779000000000001</v>
      </c>
      <c r="E118">
        <v>0.33</v>
      </c>
      <c r="F118">
        <v>0.23258999999999999</v>
      </c>
      <c r="G118">
        <v>0</v>
      </c>
      <c r="H118">
        <v>0</v>
      </c>
      <c r="I118">
        <v>1.90489</v>
      </c>
      <c r="J118">
        <v>9.8288100000000007</v>
      </c>
      <c r="K118">
        <v>0</v>
      </c>
      <c r="L118">
        <v>0.33</v>
      </c>
      <c r="M118">
        <v>0.16356999999999999</v>
      </c>
      <c r="N118">
        <v>0</v>
      </c>
      <c r="O118">
        <v>0</v>
      </c>
      <c r="P118">
        <v>2.0621200000000002</v>
      </c>
      <c r="Q118">
        <v>9.36449</v>
      </c>
      <c r="R118">
        <v>0.85067999999999999</v>
      </c>
      <c r="S118">
        <v>0.33</v>
      </c>
      <c r="T118">
        <v>0.24831</v>
      </c>
      <c r="U118">
        <v>0</v>
      </c>
      <c r="V118">
        <v>0</v>
      </c>
      <c r="W118">
        <v>1.6458600000000001</v>
      </c>
      <c r="X118">
        <v>9.3481199999999998</v>
      </c>
      <c r="Y118">
        <v>0.82715000000000005</v>
      </c>
      <c r="Z118">
        <v>0.33</v>
      </c>
      <c r="AA118">
        <v>0.13297999999999999</v>
      </c>
      <c r="AB118">
        <v>0</v>
      </c>
      <c r="AC118">
        <v>0</v>
      </c>
      <c r="AD118">
        <v>1.84792</v>
      </c>
      <c r="AF118">
        <v>0</v>
      </c>
      <c r="AG118">
        <v>0</v>
      </c>
      <c r="AH118">
        <v>0</v>
      </c>
      <c r="AI118">
        <v>0</v>
      </c>
      <c r="AJ118">
        <v>0.04</v>
      </c>
      <c r="AK118">
        <v>105348</v>
      </c>
      <c r="AL118">
        <v>0</v>
      </c>
      <c r="AM118">
        <v>0</v>
      </c>
      <c r="AN118">
        <v>0</v>
      </c>
      <c r="AO118">
        <v>0</v>
      </c>
      <c r="AP118">
        <v>0.04</v>
      </c>
      <c r="AQ118">
        <v>83526</v>
      </c>
      <c r="AR118">
        <v>0</v>
      </c>
      <c r="AS118">
        <v>0</v>
      </c>
      <c r="AT118">
        <v>0</v>
      </c>
      <c r="AU118">
        <v>0</v>
      </c>
      <c r="AV118">
        <v>0.04</v>
      </c>
      <c r="AW118">
        <v>99834</v>
      </c>
      <c r="BA118">
        <v>2376</v>
      </c>
      <c r="BB118" t="s">
        <v>313</v>
      </c>
      <c r="BC118">
        <v>444</v>
      </c>
      <c r="BD118">
        <v>464.4</v>
      </c>
    </row>
    <row r="119" spans="1:56" x14ac:dyDescent="0.25">
      <c r="A119">
        <v>2403</v>
      </c>
      <c r="B119" t="s">
        <v>314</v>
      </c>
      <c r="C119">
        <v>9.5736100000000004</v>
      </c>
      <c r="D119">
        <v>1.14811</v>
      </c>
      <c r="E119">
        <v>0.33</v>
      </c>
      <c r="F119">
        <v>0.13039999999999999</v>
      </c>
      <c r="G119">
        <v>0</v>
      </c>
      <c r="H119">
        <v>0</v>
      </c>
      <c r="I119">
        <v>0</v>
      </c>
      <c r="J119">
        <v>10.19787</v>
      </c>
      <c r="K119">
        <v>1.07744</v>
      </c>
      <c r="L119">
        <v>0.33</v>
      </c>
      <c r="M119">
        <v>0.23222000000000001</v>
      </c>
      <c r="N119">
        <v>0</v>
      </c>
      <c r="O119">
        <v>0</v>
      </c>
      <c r="P119">
        <v>0</v>
      </c>
      <c r="Q119">
        <v>9.8512599999999999</v>
      </c>
      <c r="R119">
        <v>0.72892999999999997</v>
      </c>
      <c r="S119">
        <v>0.33</v>
      </c>
      <c r="T119">
        <v>0.25900000000000001</v>
      </c>
      <c r="U119">
        <v>0</v>
      </c>
      <c r="V119">
        <v>0</v>
      </c>
      <c r="W119">
        <v>0</v>
      </c>
      <c r="X119">
        <v>9.5608599999999999</v>
      </c>
      <c r="Y119">
        <v>0.74080999999999997</v>
      </c>
      <c r="Z119">
        <v>0.33</v>
      </c>
      <c r="AA119">
        <v>0.26157000000000002</v>
      </c>
      <c r="AB119">
        <v>0</v>
      </c>
      <c r="AC119">
        <v>0</v>
      </c>
      <c r="AD119">
        <v>0</v>
      </c>
      <c r="AF119">
        <v>0.08</v>
      </c>
      <c r="AG119">
        <v>265489</v>
      </c>
      <c r="AH119">
        <v>0</v>
      </c>
      <c r="AI119">
        <v>0</v>
      </c>
      <c r="AJ119">
        <v>0.03</v>
      </c>
      <c r="AK119">
        <v>99558</v>
      </c>
      <c r="AL119">
        <v>0.08</v>
      </c>
      <c r="AM119">
        <v>244372</v>
      </c>
      <c r="AN119">
        <v>0</v>
      </c>
      <c r="AO119">
        <v>0</v>
      </c>
      <c r="AP119">
        <v>0.03</v>
      </c>
      <c r="AQ119">
        <v>91639</v>
      </c>
      <c r="AR119">
        <v>0.08</v>
      </c>
      <c r="AS119">
        <v>237843</v>
      </c>
      <c r="AT119">
        <v>0</v>
      </c>
      <c r="AU119">
        <v>0</v>
      </c>
      <c r="AV119">
        <v>0.03</v>
      </c>
      <c r="AW119">
        <v>89191</v>
      </c>
      <c r="BA119">
        <v>2403</v>
      </c>
      <c r="BB119" t="s">
        <v>314</v>
      </c>
      <c r="BC119">
        <v>785</v>
      </c>
      <c r="BD119">
        <v>800.7</v>
      </c>
    </row>
    <row r="120" spans="1:56" x14ac:dyDescent="0.25">
      <c r="A120">
        <v>2457</v>
      </c>
      <c r="B120" t="s">
        <v>315</v>
      </c>
      <c r="C120">
        <v>8.30471</v>
      </c>
      <c r="D120">
        <v>1.0269699999999999</v>
      </c>
      <c r="E120">
        <v>0.33</v>
      </c>
      <c r="F120">
        <v>0.74258999999999997</v>
      </c>
      <c r="G120">
        <v>0.13500000000000001</v>
      </c>
      <c r="H120">
        <v>0</v>
      </c>
      <c r="I120">
        <v>1.56057</v>
      </c>
      <c r="J120">
        <v>8.9875699999999998</v>
      </c>
      <c r="K120">
        <v>1.07307</v>
      </c>
      <c r="L120">
        <v>0.33</v>
      </c>
      <c r="M120">
        <v>0.68420000000000003</v>
      </c>
      <c r="N120">
        <v>0.13500000000000001</v>
      </c>
      <c r="O120">
        <v>0</v>
      </c>
      <c r="P120">
        <v>1.7301299999999999</v>
      </c>
      <c r="Q120">
        <v>9.2658500000000004</v>
      </c>
      <c r="R120">
        <v>0.78346000000000005</v>
      </c>
      <c r="S120">
        <v>0.33</v>
      </c>
      <c r="T120">
        <v>1.13337</v>
      </c>
      <c r="U120">
        <v>0.13500000000000001</v>
      </c>
      <c r="V120">
        <v>0</v>
      </c>
      <c r="W120">
        <v>1.8208200000000001</v>
      </c>
      <c r="X120">
        <v>12.0456</v>
      </c>
      <c r="Y120">
        <v>0.64990000000000003</v>
      </c>
      <c r="Z120">
        <v>0.33</v>
      </c>
      <c r="AA120">
        <v>0.75334000000000001</v>
      </c>
      <c r="AB120">
        <v>0.13500000000000001</v>
      </c>
      <c r="AC120">
        <v>0</v>
      </c>
      <c r="AD120">
        <v>8.7779999999999997E-2</v>
      </c>
      <c r="AF120">
        <v>0.1</v>
      </c>
      <c r="AG120">
        <v>205758</v>
      </c>
      <c r="AH120">
        <v>0</v>
      </c>
      <c r="AI120">
        <v>0</v>
      </c>
      <c r="AJ120">
        <v>0.06</v>
      </c>
      <c r="AK120">
        <v>123455</v>
      </c>
      <c r="AL120">
        <v>0.08</v>
      </c>
      <c r="AM120">
        <v>149029</v>
      </c>
      <c r="AN120">
        <v>0</v>
      </c>
      <c r="AO120">
        <v>0</v>
      </c>
      <c r="AP120">
        <v>0.02</v>
      </c>
      <c r="AQ120">
        <v>37257</v>
      </c>
      <c r="AR120">
        <v>0.13</v>
      </c>
      <c r="AS120">
        <v>217206</v>
      </c>
      <c r="AT120">
        <v>0</v>
      </c>
      <c r="AU120">
        <v>0</v>
      </c>
      <c r="AV120">
        <v>0.06</v>
      </c>
      <c r="AW120">
        <v>100249</v>
      </c>
      <c r="BA120">
        <v>2457</v>
      </c>
      <c r="BB120" t="s">
        <v>315</v>
      </c>
      <c r="BC120">
        <v>456</v>
      </c>
      <c r="BD120">
        <v>442.1</v>
      </c>
    </row>
    <row r="121" spans="1:56" x14ac:dyDescent="0.25">
      <c r="A121">
        <v>2466</v>
      </c>
      <c r="B121" t="s">
        <v>316</v>
      </c>
      <c r="C121">
        <v>11.997949999999999</v>
      </c>
      <c r="D121">
        <v>0</v>
      </c>
      <c r="E121">
        <v>0.33</v>
      </c>
      <c r="F121">
        <v>1.34</v>
      </c>
      <c r="G121">
        <v>0</v>
      </c>
      <c r="H121">
        <v>0</v>
      </c>
      <c r="I121">
        <v>4.05</v>
      </c>
      <c r="J121">
        <v>11.042870000000001</v>
      </c>
      <c r="K121">
        <v>0.71538000000000002</v>
      </c>
      <c r="L121">
        <v>0.33</v>
      </c>
      <c r="M121">
        <v>1.34</v>
      </c>
      <c r="N121">
        <v>0</v>
      </c>
      <c r="O121">
        <v>0</v>
      </c>
      <c r="P121">
        <v>4.05</v>
      </c>
      <c r="Q121">
        <v>11.53378</v>
      </c>
      <c r="R121">
        <v>0.73368999999999995</v>
      </c>
      <c r="S121">
        <v>0.33</v>
      </c>
      <c r="T121">
        <v>1.34</v>
      </c>
      <c r="U121">
        <v>0</v>
      </c>
      <c r="V121">
        <v>0</v>
      </c>
      <c r="W121">
        <v>4.05</v>
      </c>
      <c r="X121">
        <v>13.364330000000001</v>
      </c>
      <c r="Y121">
        <v>0.89849000000000001</v>
      </c>
      <c r="Z121">
        <v>0.33</v>
      </c>
      <c r="AA121">
        <v>1.34</v>
      </c>
      <c r="AB121">
        <v>0</v>
      </c>
      <c r="AC121">
        <v>0</v>
      </c>
      <c r="AD121">
        <v>4.05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BA121">
        <v>2466</v>
      </c>
      <c r="BB121" t="s">
        <v>316</v>
      </c>
      <c r="BC121">
        <v>1296.3</v>
      </c>
      <c r="BD121">
        <v>1321.2</v>
      </c>
    </row>
    <row r="122" spans="1:56" x14ac:dyDescent="0.25">
      <c r="A122">
        <v>2493</v>
      </c>
      <c r="B122" t="s">
        <v>317</v>
      </c>
      <c r="C122">
        <v>10.084490000000001</v>
      </c>
      <c r="D122">
        <v>0</v>
      </c>
      <c r="E122">
        <v>0.33</v>
      </c>
      <c r="F122">
        <v>0.67500000000000004</v>
      </c>
      <c r="G122">
        <v>0</v>
      </c>
      <c r="H122">
        <v>0</v>
      </c>
      <c r="I122">
        <v>0</v>
      </c>
      <c r="J122">
        <v>7.9508000000000001</v>
      </c>
      <c r="K122">
        <v>0.43134</v>
      </c>
      <c r="L122">
        <v>0.33</v>
      </c>
      <c r="M122">
        <v>0.67500000000000004</v>
      </c>
      <c r="N122">
        <v>0</v>
      </c>
      <c r="O122">
        <v>0</v>
      </c>
      <c r="P122">
        <v>0</v>
      </c>
      <c r="Q122">
        <v>7.5841000000000003</v>
      </c>
      <c r="R122">
        <v>1.7251099999999999</v>
      </c>
      <c r="S122">
        <v>0.33</v>
      </c>
      <c r="T122">
        <v>0.67500000000000004</v>
      </c>
      <c r="U122">
        <v>0</v>
      </c>
      <c r="V122">
        <v>0</v>
      </c>
      <c r="W122">
        <v>0</v>
      </c>
      <c r="X122">
        <v>9.6019600000000001</v>
      </c>
      <c r="Y122">
        <v>1.3781600000000001</v>
      </c>
      <c r="Z122">
        <v>0.33</v>
      </c>
      <c r="AA122">
        <v>0.67500000000000004</v>
      </c>
      <c r="AB122">
        <v>0</v>
      </c>
      <c r="AC122">
        <v>0</v>
      </c>
      <c r="AD122">
        <v>0</v>
      </c>
      <c r="AF122">
        <v>0.1</v>
      </c>
      <c r="AG122">
        <v>62148</v>
      </c>
      <c r="AH122">
        <v>0</v>
      </c>
      <c r="AI122">
        <v>0</v>
      </c>
      <c r="AJ122">
        <v>0</v>
      </c>
      <c r="AK122">
        <v>0</v>
      </c>
      <c r="AL122">
        <v>0.1</v>
      </c>
      <c r="AM122">
        <v>68642</v>
      </c>
      <c r="AN122">
        <v>0</v>
      </c>
      <c r="AO122">
        <v>0</v>
      </c>
      <c r="AP122">
        <v>0</v>
      </c>
      <c r="AQ122">
        <v>0</v>
      </c>
      <c r="AR122">
        <v>0.1</v>
      </c>
      <c r="AS122">
        <v>69462</v>
      </c>
      <c r="AT122">
        <v>0</v>
      </c>
      <c r="AU122">
        <v>0</v>
      </c>
      <c r="AV122">
        <v>0</v>
      </c>
      <c r="AW122">
        <v>0</v>
      </c>
      <c r="BA122">
        <v>2493</v>
      </c>
      <c r="BB122" t="s">
        <v>317</v>
      </c>
      <c r="BC122">
        <v>129</v>
      </c>
      <c r="BD122">
        <v>112</v>
      </c>
    </row>
    <row r="123" spans="1:56" x14ac:dyDescent="0.25">
      <c r="A123">
        <v>2502</v>
      </c>
      <c r="B123" t="s">
        <v>318</v>
      </c>
      <c r="C123">
        <v>9.0243599999999997</v>
      </c>
      <c r="D123">
        <v>1.1493800000000001</v>
      </c>
      <c r="E123">
        <v>0.33</v>
      </c>
      <c r="F123">
        <v>0.45717999999999998</v>
      </c>
      <c r="G123">
        <v>0</v>
      </c>
      <c r="H123">
        <v>0</v>
      </c>
      <c r="I123">
        <v>0</v>
      </c>
      <c r="J123">
        <v>9.1845700000000008</v>
      </c>
      <c r="K123">
        <v>0.78068000000000004</v>
      </c>
      <c r="L123">
        <v>0.33</v>
      </c>
      <c r="M123">
        <v>0.49745</v>
      </c>
      <c r="N123">
        <v>0</v>
      </c>
      <c r="O123">
        <v>0</v>
      </c>
      <c r="P123">
        <v>0</v>
      </c>
      <c r="Q123">
        <v>9.2809200000000001</v>
      </c>
      <c r="R123">
        <v>1.016</v>
      </c>
      <c r="S123">
        <v>0.33</v>
      </c>
      <c r="T123">
        <v>0.50480000000000003</v>
      </c>
      <c r="U123">
        <v>0</v>
      </c>
      <c r="V123">
        <v>0</v>
      </c>
      <c r="W123">
        <v>0</v>
      </c>
      <c r="X123">
        <v>10.676209999999999</v>
      </c>
      <c r="Y123">
        <v>0.63495000000000001</v>
      </c>
      <c r="Z123">
        <v>0.33</v>
      </c>
      <c r="AA123">
        <v>0.50239999999999996</v>
      </c>
      <c r="AB123">
        <v>0</v>
      </c>
      <c r="AC123">
        <v>0</v>
      </c>
      <c r="AD123">
        <v>0</v>
      </c>
      <c r="AF123">
        <v>0.02</v>
      </c>
      <c r="AG123">
        <v>93236</v>
      </c>
      <c r="AH123">
        <v>0</v>
      </c>
      <c r="AI123">
        <v>0</v>
      </c>
      <c r="AJ123">
        <v>0.01</v>
      </c>
      <c r="AK123">
        <v>46618</v>
      </c>
      <c r="AL123">
        <v>7.0000000000000007E-2</v>
      </c>
      <c r="AM123">
        <v>300604</v>
      </c>
      <c r="AN123">
        <v>0</v>
      </c>
      <c r="AO123">
        <v>0</v>
      </c>
      <c r="AP123">
        <v>0.01</v>
      </c>
      <c r="AQ123">
        <v>42943</v>
      </c>
      <c r="AR123">
        <v>7.0000000000000007E-2</v>
      </c>
      <c r="AS123">
        <v>292233</v>
      </c>
      <c r="AT123">
        <v>0</v>
      </c>
      <c r="AU123">
        <v>0</v>
      </c>
      <c r="AV123">
        <v>0.01</v>
      </c>
      <c r="AW123">
        <v>41748</v>
      </c>
      <c r="BA123">
        <v>2502</v>
      </c>
      <c r="BB123" t="s">
        <v>318</v>
      </c>
      <c r="BC123">
        <v>610.79999999999995</v>
      </c>
      <c r="BD123">
        <v>601.5</v>
      </c>
    </row>
    <row r="124" spans="1:56" x14ac:dyDescent="0.25">
      <c r="A124">
        <v>2511</v>
      </c>
      <c r="B124" t="s">
        <v>319</v>
      </c>
      <c r="C124">
        <v>10.362629999999999</v>
      </c>
      <c r="D124">
        <v>1.2723899999999999</v>
      </c>
      <c r="E124">
        <v>0.33</v>
      </c>
      <c r="F124">
        <v>0</v>
      </c>
      <c r="G124">
        <v>0</v>
      </c>
      <c r="H124">
        <v>0</v>
      </c>
      <c r="I124">
        <v>2.5737700000000001</v>
      </c>
      <c r="J124">
        <v>10.309900000000001</v>
      </c>
      <c r="K124">
        <v>2.02847</v>
      </c>
      <c r="L124">
        <v>0.33</v>
      </c>
      <c r="M124">
        <v>0</v>
      </c>
      <c r="N124">
        <v>0</v>
      </c>
      <c r="O124">
        <v>0</v>
      </c>
      <c r="P124">
        <v>2.6738900000000001</v>
      </c>
      <c r="Q124">
        <v>12.35022</v>
      </c>
      <c r="R124">
        <v>1.49769</v>
      </c>
      <c r="S124">
        <v>0.33</v>
      </c>
      <c r="T124">
        <v>0</v>
      </c>
      <c r="U124">
        <v>0</v>
      </c>
      <c r="V124">
        <v>0</v>
      </c>
      <c r="W124">
        <v>2.8076599999999998</v>
      </c>
      <c r="X124">
        <v>12.562849999999999</v>
      </c>
      <c r="Y124">
        <v>1.4843999999999999</v>
      </c>
      <c r="Z124">
        <v>0.33</v>
      </c>
      <c r="AA124">
        <v>0</v>
      </c>
      <c r="AB124">
        <v>0</v>
      </c>
      <c r="AC124">
        <v>0</v>
      </c>
      <c r="AD124">
        <v>2.9840499999999999</v>
      </c>
      <c r="AF124">
        <v>7.0000000000000007E-2</v>
      </c>
      <c r="AG124">
        <v>703373</v>
      </c>
      <c r="AH124">
        <v>0</v>
      </c>
      <c r="AI124">
        <v>0</v>
      </c>
      <c r="AJ124">
        <v>0</v>
      </c>
      <c r="AK124">
        <v>0</v>
      </c>
      <c r="AL124">
        <v>7.0000000000000007E-2</v>
      </c>
      <c r="AM124">
        <v>682571</v>
      </c>
      <c r="AN124">
        <v>0</v>
      </c>
      <c r="AO124">
        <v>0</v>
      </c>
      <c r="AP124">
        <v>0</v>
      </c>
      <c r="AQ124">
        <v>0</v>
      </c>
      <c r="AR124">
        <v>7.0000000000000007E-2</v>
      </c>
      <c r="AS124">
        <v>668218</v>
      </c>
      <c r="AT124">
        <v>0</v>
      </c>
      <c r="AU124">
        <v>0</v>
      </c>
      <c r="AV124">
        <v>0</v>
      </c>
      <c r="AW124">
        <v>0</v>
      </c>
      <c r="BA124">
        <v>2511</v>
      </c>
      <c r="BB124" t="s">
        <v>319</v>
      </c>
      <c r="BC124">
        <v>2023.5</v>
      </c>
      <c r="BD124">
        <v>1960.5</v>
      </c>
    </row>
    <row r="125" spans="1:56" x14ac:dyDescent="0.25">
      <c r="A125">
        <v>2520</v>
      </c>
      <c r="B125" t="s">
        <v>320</v>
      </c>
      <c r="C125">
        <v>7.6246499999999999</v>
      </c>
      <c r="D125">
        <v>1.4007799999999999</v>
      </c>
      <c r="E125">
        <v>0.33</v>
      </c>
      <c r="F125">
        <v>0</v>
      </c>
      <c r="G125">
        <v>0</v>
      </c>
      <c r="H125">
        <v>0</v>
      </c>
      <c r="I125">
        <v>1.24674</v>
      </c>
      <c r="J125">
        <v>8.9239800000000002</v>
      </c>
      <c r="K125">
        <v>0.30770999999999998</v>
      </c>
      <c r="L125">
        <v>0.33</v>
      </c>
      <c r="M125">
        <v>0</v>
      </c>
      <c r="N125">
        <v>0</v>
      </c>
      <c r="O125">
        <v>0</v>
      </c>
      <c r="P125">
        <v>0.73848000000000003</v>
      </c>
      <c r="Q125">
        <v>8.8664400000000008</v>
      </c>
      <c r="R125">
        <v>0.43784000000000001</v>
      </c>
      <c r="S125">
        <v>0.33</v>
      </c>
      <c r="T125">
        <v>0</v>
      </c>
      <c r="U125">
        <v>0</v>
      </c>
      <c r="V125">
        <v>0</v>
      </c>
      <c r="W125">
        <v>0.91403000000000001</v>
      </c>
      <c r="X125">
        <v>9.5607500000000005</v>
      </c>
      <c r="Y125">
        <v>0.68201999999999996</v>
      </c>
      <c r="Z125">
        <v>0.33</v>
      </c>
      <c r="AA125">
        <v>0</v>
      </c>
      <c r="AB125">
        <v>0</v>
      </c>
      <c r="AC125">
        <v>0</v>
      </c>
      <c r="AD125">
        <v>0.35363</v>
      </c>
      <c r="AF125">
        <v>0.1</v>
      </c>
      <c r="AG125">
        <v>156067</v>
      </c>
      <c r="AH125">
        <v>0</v>
      </c>
      <c r="AI125">
        <v>0</v>
      </c>
      <c r="AJ125">
        <v>0</v>
      </c>
      <c r="AK125">
        <v>0</v>
      </c>
      <c r="AL125">
        <v>0.1</v>
      </c>
      <c r="AM125">
        <v>155647</v>
      </c>
      <c r="AN125">
        <v>0</v>
      </c>
      <c r="AO125">
        <v>0</v>
      </c>
      <c r="AP125">
        <v>0</v>
      </c>
      <c r="AQ125">
        <v>0</v>
      </c>
      <c r="AR125">
        <v>0.1</v>
      </c>
      <c r="AS125">
        <v>147337</v>
      </c>
      <c r="AT125">
        <v>0</v>
      </c>
      <c r="AU125">
        <v>0</v>
      </c>
      <c r="AV125">
        <v>0</v>
      </c>
      <c r="AW125">
        <v>0</v>
      </c>
      <c r="BA125">
        <v>2520</v>
      </c>
      <c r="BB125" t="s">
        <v>320</v>
      </c>
      <c r="BC125">
        <v>305.10000000000002</v>
      </c>
      <c r="BD125">
        <v>293.3</v>
      </c>
    </row>
    <row r="126" spans="1:56" x14ac:dyDescent="0.25">
      <c r="A126">
        <v>2556</v>
      </c>
      <c r="B126" t="s">
        <v>321</v>
      </c>
      <c r="C126">
        <v>8.31691</v>
      </c>
      <c r="D126">
        <v>0.6159</v>
      </c>
      <c r="E126">
        <v>0.33</v>
      </c>
      <c r="F126">
        <v>0.89903</v>
      </c>
      <c r="G126">
        <v>0</v>
      </c>
      <c r="H126">
        <v>0</v>
      </c>
      <c r="I126">
        <v>0</v>
      </c>
      <c r="J126">
        <v>8.7421000000000006</v>
      </c>
      <c r="K126">
        <v>0.50619000000000003</v>
      </c>
      <c r="L126">
        <v>0.33</v>
      </c>
      <c r="M126">
        <v>0.91407000000000005</v>
      </c>
      <c r="N126">
        <v>0</v>
      </c>
      <c r="O126">
        <v>0</v>
      </c>
      <c r="P126">
        <v>0</v>
      </c>
      <c r="Q126">
        <v>8.6796600000000002</v>
      </c>
      <c r="R126">
        <v>1.04556</v>
      </c>
      <c r="S126">
        <v>0.33</v>
      </c>
      <c r="T126">
        <v>1</v>
      </c>
      <c r="U126">
        <v>0</v>
      </c>
      <c r="V126">
        <v>0</v>
      </c>
      <c r="W126">
        <v>0</v>
      </c>
      <c r="X126">
        <v>8.5870999999999995</v>
      </c>
      <c r="Y126">
        <v>1.8701000000000001</v>
      </c>
      <c r="Z126">
        <v>0.33</v>
      </c>
      <c r="AA126">
        <v>0.52524000000000004</v>
      </c>
      <c r="AB126">
        <v>0</v>
      </c>
      <c r="AC126">
        <v>0</v>
      </c>
      <c r="AD126">
        <v>0</v>
      </c>
      <c r="AF126">
        <v>0.01</v>
      </c>
      <c r="AG126">
        <v>17264</v>
      </c>
      <c r="AH126">
        <v>0</v>
      </c>
      <c r="AI126">
        <v>0</v>
      </c>
      <c r="AJ126">
        <v>0.01</v>
      </c>
      <c r="AK126">
        <v>17264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0.03</v>
      </c>
      <c r="AS126">
        <v>55696</v>
      </c>
      <c r="AT126">
        <v>0</v>
      </c>
      <c r="AU126">
        <v>0</v>
      </c>
      <c r="AV126">
        <v>0.05</v>
      </c>
      <c r="AW126">
        <v>92827</v>
      </c>
      <c r="BA126">
        <v>2682</v>
      </c>
      <c r="BB126" t="s">
        <v>605</v>
      </c>
      <c r="BC126">
        <v>318.3</v>
      </c>
      <c r="BD126">
        <v>316</v>
      </c>
    </row>
    <row r="127" spans="1:56" x14ac:dyDescent="0.25">
      <c r="A127">
        <v>2673</v>
      </c>
      <c r="B127" t="s">
        <v>604</v>
      </c>
      <c r="C127">
        <v>12.2372</v>
      </c>
      <c r="D127">
        <v>0.82669000000000004</v>
      </c>
      <c r="E127">
        <v>0.33</v>
      </c>
      <c r="F127">
        <v>0</v>
      </c>
      <c r="G127">
        <v>0</v>
      </c>
      <c r="H127">
        <v>0</v>
      </c>
      <c r="I127">
        <v>0</v>
      </c>
      <c r="J127">
        <v>13.28966</v>
      </c>
      <c r="K127">
        <v>0.64634999999999998</v>
      </c>
      <c r="L127">
        <v>0.33</v>
      </c>
      <c r="M127">
        <v>0</v>
      </c>
      <c r="N127">
        <v>0</v>
      </c>
      <c r="O127">
        <v>0</v>
      </c>
      <c r="P127">
        <v>0</v>
      </c>
      <c r="Q127">
        <v>13.092269999999999</v>
      </c>
      <c r="R127">
        <v>0.89881999999999995</v>
      </c>
      <c r="S127">
        <v>0.33</v>
      </c>
      <c r="T127">
        <v>0</v>
      </c>
      <c r="U127">
        <v>0</v>
      </c>
      <c r="V127">
        <v>0</v>
      </c>
      <c r="W127">
        <v>0</v>
      </c>
      <c r="X127">
        <v>14.585000000000001</v>
      </c>
      <c r="Y127">
        <v>0.32332</v>
      </c>
      <c r="Z127">
        <v>0.33</v>
      </c>
      <c r="AA127">
        <v>0</v>
      </c>
      <c r="AB127">
        <v>0</v>
      </c>
      <c r="AC127">
        <v>0</v>
      </c>
      <c r="AD127">
        <v>0</v>
      </c>
      <c r="AF127">
        <v>0.08</v>
      </c>
      <c r="AG127">
        <v>248261</v>
      </c>
      <c r="AH127">
        <v>0</v>
      </c>
      <c r="AI127">
        <v>0</v>
      </c>
      <c r="AJ127">
        <v>0</v>
      </c>
      <c r="AK127">
        <v>0</v>
      </c>
      <c r="AL127">
        <v>0.08</v>
      </c>
      <c r="AM127">
        <v>240853</v>
      </c>
      <c r="AN127">
        <v>0</v>
      </c>
      <c r="AO127">
        <v>0</v>
      </c>
      <c r="AP127">
        <v>0</v>
      </c>
      <c r="AQ127">
        <v>0</v>
      </c>
      <c r="AR127">
        <v>0.08</v>
      </c>
      <c r="AS127">
        <v>232341</v>
      </c>
      <c r="AT127">
        <v>0</v>
      </c>
      <c r="AU127">
        <v>0</v>
      </c>
      <c r="AV127">
        <v>0</v>
      </c>
      <c r="AW127">
        <v>0</v>
      </c>
      <c r="BA127">
        <v>2556</v>
      </c>
      <c r="BB127" t="s">
        <v>321</v>
      </c>
      <c r="BC127">
        <v>350</v>
      </c>
      <c r="BD127">
        <v>354</v>
      </c>
    </row>
    <row r="128" spans="1:56" x14ac:dyDescent="0.25">
      <c r="A128">
        <v>2682</v>
      </c>
      <c r="B128" t="s">
        <v>605</v>
      </c>
      <c r="C128">
        <v>10.92428</v>
      </c>
      <c r="D128">
        <v>1.24685</v>
      </c>
      <c r="E128">
        <v>0.33</v>
      </c>
      <c r="F128">
        <v>0.67</v>
      </c>
      <c r="G128">
        <v>0</v>
      </c>
      <c r="H128">
        <v>0</v>
      </c>
      <c r="I128">
        <v>3.2297099999999999</v>
      </c>
      <c r="J128">
        <v>10.46433</v>
      </c>
      <c r="K128">
        <v>1.61002</v>
      </c>
      <c r="L128">
        <v>0.33</v>
      </c>
      <c r="M128">
        <v>0.67</v>
      </c>
      <c r="N128">
        <v>0</v>
      </c>
      <c r="O128">
        <v>0</v>
      </c>
      <c r="P128">
        <v>3.1753800000000001</v>
      </c>
      <c r="Q128">
        <v>10.39716</v>
      </c>
      <c r="R128">
        <v>1.3257399999999999</v>
      </c>
      <c r="S128">
        <v>0.33</v>
      </c>
      <c r="T128">
        <v>0.67</v>
      </c>
      <c r="U128">
        <v>0</v>
      </c>
      <c r="V128">
        <v>0</v>
      </c>
      <c r="W128">
        <v>3.2461099999999998</v>
      </c>
      <c r="X128">
        <v>11.75445</v>
      </c>
      <c r="Y128">
        <v>0.42484</v>
      </c>
      <c r="Z128">
        <v>0</v>
      </c>
      <c r="AA128">
        <v>0</v>
      </c>
      <c r="AB128">
        <v>0</v>
      </c>
      <c r="AC128">
        <v>0</v>
      </c>
      <c r="AD128">
        <v>3.3010000000000002</v>
      </c>
      <c r="AF128">
        <v>0.11</v>
      </c>
      <c r="AG128">
        <v>148438</v>
      </c>
      <c r="AH128">
        <v>0</v>
      </c>
      <c r="AI128">
        <v>0</v>
      </c>
      <c r="AJ128">
        <v>0</v>
      </c>
      <c r="AK128">
        <v>0</v>
      </c>
      <c r="AL128">
        <v>0.11</v>
      </c>
      <c r="AM128">
        <v>145826</v>
      </c>
      <c r="AN128">
        <v>0</v>
      </c>
      <c r="AO128">
        <v>0</v>
      </c>
      <c r="AP128">
        <v>0</v>
      </c>
      <c r="AQ128">
        <v>0</v>
      </c>
      <c r="AR128">
        <v>0.13</v>
      </c>
      <c r="AS128">
        <v>164827</v>
      </c>
      <c r="AT128">
        <v>0</v>
      </c>
      <c r="AU128">
        <v>0</v>
      </c>
      <c r="AV128">
        <v>0</v>
      </c>
      <c r="AW128">
        <v>0</v>
      </c>
      <c r="BA128">
        <v>3195</v>
      </c>
      <c r="BB128" t="s">
        <v>608</v>
      </c>
      <c r="BC128">
        <v>1002</v>
      </c>
      <c r="BD128">
        <v>992.3</v>
      </c>
    </row>
    <row r="129" spans="1:56" x14ac:dyDescent="0.25">
      <c r="A129">
        <v>2709</v>
      </c>
      <c r="B129" t="s">
        <v>323</v>
      </c>
      <c r="C129">
        <v>10.041119999999999</v>
      </c>
      <c r="D129">
        <v>1.2883599999999999</v>
      </c>
      <c r="E129">
        <v>0.33</v>
      </c>
      <c r="F129">
        <v>0.50165999999999999</v>
      </c>
      <c r="G129">
        <v>0</v>
      </c>
      <c r="H129">
        <v>0</v>
      </c>
      <c r="I129">
        <v>2.2116099999999999</v>
      </c>
      <c r="J129">
        <v>10.93834</v>
      </c>
      <c r="K129">
        <v>0.27384999999999998</v>
      </c>
      <c r="L129">
        <v>0.33</v>
      </c>
      <c r="M129">
        <v>0.51953000000000005</v>
      </c>
      <c r="N129">
        <v>0</v>
      </c>
      <c r="O129">
        <v>0</v>
      </c>
      <c r="P129">
        <v>2.2948599999999999</v>
      </c>
      <c r="Q129">
        <v>10.479430000000001</v>
      </c>
      <c r="R129">
        <v>1.9182600000000001</v>
      </c>
      <c r="S129">
        <v>0.33</v>
      </c>
      <c r="T129">
        <v>0.67</v>
      </c>
      <c r="U129">
        <v>0</v>
      </c>
      <c r="V129">
        <v>0</v>
      </c>
      <c r="W129">
        <v>1.34016</v>
      </c>
      <c r="X129">
        <v>12.246639999999999</v>
      </c>
      <c r="Y129">
        <v>0.82959000000000005</v>
      </c>
      <c r="Z129">
        <v>0.33</v>
      </c>
      <c r="AA129">
        <v>0.34600999999999998</v>
      </c>
      <c r="AB129">
        <v>0</v>
      </c>
      <c r="AC129">
        <v>0</v>
      </c>
      <c r="AD129">
        <v>1.4498200000000001</v>
      </c>
      <c r="AF129">
        <v>0.05</v>
      </c>
      <c r="AG129">
        <v>445463</v>
      </c>
      <c r="AH129">
        <v>0</v>
      </c>
      <c r="AI129">
        <v>0</v>
      </c>
      <c r="AJ129">
        <v>0.01</v>
      </c>
      <c r="AK129">
        <v>89093</v>
      </c>
      <c r="AL129">
        <v>0.05</v>
      </c>
      <c r="AM129">
        <v>447753</v>
      </c>
      <c r="AN129">
        <v>0</v>
      </c>
      <c r="AO129">
        <v>0</v>
      </c>
      <c r="AP129">
        <v>0</v>
      </c>
      <c r="AQ129">
        <v>0</v>
      </c>
      <c r="AR129">
        <v>0.06</v>
      </c>
      <c r="AS129">
        <v>533277</v>
      </c>
      <c r="AT129">
        <v>0</v>
      </c>
      <c r="AU129">
        <v>0</v>
      </c>
      <c r="AV129">
        <v>0.02</v>
      </c>
      <c r="AW129">
        <v>177759</v>
      </c>
      <c r="BA129">
        <v>2709</v>
      </c>
      <c r="BB129" t="s">
        <v>323</v>
      </c>
      <c r="BC129">
        <v>1670.7</v>
      </c>
      <c r="BD129">
        <v>1625.8</v>
      </c>
    </row>
    <row r="130" spans="1:56" x14ac:dyDescent="0.25">
      <c r="A130">
        <v>2718</v>
      </c>
      <c r="B130" t="s">
        <v>324</v>
      </c>
      <c r="C130">
        <v>9.5577100000000002</v>
      </c>
      <c r="D130">
        <v>0.83916000000000002</v>
      </c>
      <c r="E130">
        <v>0.33</v>
      </c>
      <c r="F130">
        <v>0</v>
      </c>
      <c r="G130">
        <v>0</v>
      </c>
      <c r="H130">
        <v>0</v>
      </c>
      <c r="I130">
        <v>0</v>
      </c>
      <c r="J130">
        <v>9.1182300000000005</v>
      </c>
      <c r="K130">
        <v>1.2163999999999999</v>
      </c>
      <c r="L130">
        <v>0.33</v>
      </c>
      <c r="M130">
        <v>0</v>
      </c>
      <c r="N130">
        <v>0</v>
      </c>
      <c r="O130">
        <v>0</v>
      </c>
      <c r="P130">
        <v>0</v>
      </c>
      <c r="Q130">
        <v>8.7342200000000005</v>
      </c>
      <c r="R130">
        <v>1.1160000000000001</v>
      </c>
      <c r="S130">
        <v>0.33</v>
      </c>
      <c r="T130">
        <v>0</v>
      </c>
      <c r="U130">
        <v>0</v>
      </c>
      <c r="V130">
        <v>0</v>
      </c>
      <c r="W130">
        <v>0</v>
      </c>
      <c r="X130">
        <v>10.77976</v>
      </c>
      <c r="Y130">
        <v>0.38551999999999997</v>
      </c>
      <c r="Z130">
        <v>0.33</v>
      </c>
      <c r="AA130">
        <v>0</v>
      </c>
      <c r="AB130">
        <v>0</v>
      </c>
      <c r="AC130">
        <v>0</v>
      </c>
      <c r="AD130">
        <v>0</v>
      </c>
      <c r="AF130">
        <v>0.08</v>
      </c>
      <c r="AG130">
        <v>222032</v>
      </c>
      <c r="AH130">
        <v>0</v>
      </c>
      <c r="AI130">
        <v>0</v>
      </c>
      <c r="AJ130">
        <v>0</v>
      </c>
      <c r="AK130">
        <v>0</v>
      </c>
      <c r="AL130">
        <v>0.1</v>
      </c>
      <c r="AM130">
        <v>243265</v>
      </c>
      <c r="AN130">
        <v>0</v>
      </c>
      <c r="AO130">
        <v>0</v>
      </c>
      <c r="AP130">
        <v>0</v>
      </c>
      <c r="AQ130">
        <v>0</v>
      </c>
      <c r="AR130">
        <v>0.12</v>
      </c>
      <c r="AS130">
        <v>265442</v>
      </c>
      <c r="AT130">
        <v>0</v>
      </c>
      <c r="AU130">
        <v>0</v>
      </c>
      <c r="AV130">
        <v>0</v>
      </c>
      <c r="AW130">
        <v>0</v>
      </c>
      <c r="BA130">
        <v>2718</v>
      </c>
      <c r="BB130" t="s">
        <v>324</v>
      </c>
      <c r="BC130">
        <v>593.4</v>
      </c>
      <c r="BD130">
        <v>573.79999999999995</v>
      </c>
    </row>
    <row r="131" spans="1:56" x14ac:dyDescent="0.25">
      <c r="A131">
        <v>2727</v>
      </c>
      <c r="B131" t="s">
        <v>325</v>
      </c>
      <c r="C131">
        <v>10.46759</v>
      </c>
      <c r="D131">
        <v>1.2866200000000001</v>
      </c>
      <c r="E131">
        <v>0.33</v>
      </c>
      <c r="F131">
        <v>1.34</v>
      </c>
      <c r="G131">
        <v>0</v>
      </c>
      <c r="H131">
        <v>0</v>
      </c>
      <c r="I131">
        <v>0</v>
      </c>
      <c r="J131">
        <v>12.279159999999999</v>
      </c>
      <c r="K131">
        <v>1.44323</v>
      </c>
      <c r="L131">
        <v>0.33</v>
      </c>
      <c r="M131">
        <v>1.34</v>
      </c>
      <c r="N131">
        <v>0</v>
      </c>
      <c r="O131">
        <v>0</v>
      </c>
      <c r="P131">
        <v>0</v>
      </c>
      <c r="Q131">
        <v>12.9938</v>
      </c>
      <c r="R131">
        <v>1.0958300000000001</v>
      </c>
      <c r="S131">
        <v>0.33</v>
      </c>
      <c r="T131">
        <v>1.34</v>
      </c>
      <c r="U131">
        <v>0</v>
      </c>
      <c r="V131">
        <v>0</v>
      </c>
      <c r="W131">
        <v>0</v>
      </c>
      <c r="X131">
        <v>11.779489999999999</v>
      </c>
      <c r="Y131">
        <v>1.13456</v>
      </c>
      <c r="Z131">
        <v>0.33</v>
      </c>
      <c r="AA131">
        <v>1.34</v>
      </c>
      <c r="AB131">
        <v>0</v>
      </c>
      <c r="AC131">
        <v>0</v>
      </c>
      <c r="AD131">
        <v>1.76576</v>
      </c>
      <c r="AF131">
        <v>7.0000000000000007E-2</v>
      </c>
      <c r="AG131">
        <v>255488</v>
      </c>
      <c r="AH131">
        <v>0</v>
      </c>
      <c r="AI131">
        <v>0</v>
      </c>
      <c r="AJ131">
        <v>0</v>
      </c>
      <c r="AK131">
        <v>0</v>
      </c>
      <c r="AL131">
        <v>7.0000000000000007E-2</v>
      </c>
      <c r="AM131">
        <v>222467</v>
      </c>
      <c r="AN131">
        <v>0</v>
      </c>
      <c r="AO131">
        <v>0</v>
      </c>
      <c r="AP131">
        <v>0</v>
      </c>
      <c r="AQ131">
        <v>0</v>
      </c>
      <c r="AR131">
        <v>7.0000000000000007E-2</v>
      </c>
      <c r="AS131">
        <v>224914</v>
      </c>
      <c r="AT131">
        <v>0</v>
      </c>
      <c r="AU131">
        <v>0</v>
      </c>
      <c r="AV131">
        <v>0</v>
      </c>
      <c r="AW131">
        <v>0</v>
      </c>
      <c r="BA131">
        <v>2727</v>
      </c>
      <c r="BB131" t="s">
        <v>325</v>
      </c>
      <c r="BC131">
        <v>637.4</v>
      </c>
      <c r="BD131">
        <v>624.70000000000005</v>
      </c>
    </row>
    <row r="132" spans="1:56" x14ac:dyDescent="0.25">
      <c r="A132">
        <v>2754</v>
      </c>
      <c r="B132" t="s">
        <v>326</v>
      </c>
      <c r="C132">
        <v>9.3632000000000009</v>
      </c>
      <c r="D132">
        <v>0</v>
      </c>
      <c r="E132">
        <v>0.33</v>
      </c>
      <c r="F132">
        <v>1.34</v>
      </c>
      <c r="G132">
        <v>0</v>
      </c>
      <c r="H132">
        <v>0</v>
      </c>
      <c r="I132">
        <v>0</v>
      </c>
      <c r="J132">
        <v>9.8989100000000008</v>
      </c>
      <c r="K132">
        <v>0</v>
      </c>
      <c r="L132">
        <v>0.33</v>
      </c>
      <c r="M132">
        <v>1.34</v>
      </c>
      <c r="N132">
        <v>0</v>
      </c>
      <c r="O132">
        <v>0</v>
      </c>
      <c r="P132">
        <v>0</v>
      </c>
      <c r="Q132">
        <v>10.703860000000001</v>
      </c>
      <c r="R132">
        <v>2.1419199999999998</v>
      </c>
      <c r="S132">
        <v>0.33</v>
      </c>
      <c r="T132">
        <v>1.34</v>
      </c>
      <c r="U132">
        <v>0</v>
      </c>
      <c r="V132">
        <v>0</v>
      </c>
      <c r="W132">
        <v>0.74841999999999997</v>
      </c>
      <c r="X132">
        <v>13.72348</v>
      </c>
      <c r="Y132">
        <v>0.82255</v>
      </c>
      <c r="Z132">
        <v>0.33</v>
      </c>
      <c r="AA132">
        <v>1.34</v>
      </c>
      <c r="AB132">
        <v>0</v>
      </c>
      <c r="AC132">
        <v>0</v>
      </c>
      <c r="AD132">
        <v>0.77666000000000002</v>
      </c>
      <c r="AF132">
        <v>7.0000000000000007E-2</v>
      </c>
      <c r="AG132">
        <v>142618</v>
      </c>
      <c r="AH132">
        <v>0</v>
      </c>
      <c r="AI132">
        <v>0</v>
      </c>
      <c r="AJ132">
        <v>0</v>
      </c>
      <c r="AK132">
        <v>0</v>
      </c>
      <c r="AL132">
        <v>7.0000000000000007E-2</v>
      </c>
      <c r="AM132">
        <v>127463</v>
      </c>
      <c r="AN132">
        <v>0</v>
      </c>
      <c r="AO132">
        <v>0</v>
      </c>
      <c r="AP132">
        <v>0</v>
      </c>
      <c r="AQ132">
        <v>0</v>
      </c>
      <c r="AR132">
        <v>7.0000000000000007E-2</v>
      </c>
      <c r="AS132">
        <v>122674</v>
      </c>
      <c r="AT132">
        <v>0</v>
      </c>
      <c r="AU132">
        <v>0</v>
      </c>
      <c r="AV132">
        <v>0</v>
      </c>
      <c r="AW132">
        <v>0</v>
      </c>
      <c r="BA132">
        <v>2754</v>
      </c>
      <c r="BB132" t="s">
        <v>326</v>
      </c>
      <c r="BC132">
        <v>466.9</v>
      </c>
      <c r="BD132">
        <v>465.8</v>
      </c>
    </row>
    <row r="133" spans="1:56" x14ac:dyDescent="0.25">
      <c r="A133">
        <v>2763</v>
      </c>
      <c r="B133" t="s">
        <v>260</v>
      </c>
      <c r="C133">
        <v>10.084099999999999</v>
      </c>
      <c r="D133">
        <v>0.53749999999999998</v>
      </c>
      <c r="E133">
        <v>0.33</v>
      </c>
      <c r="F133">
        <v>0.67</v>
      </c>
      <c r="G133">
        <v>0</v>
      </c>
      <c r="H133">
        <v>0</v>
      </c>
      <c r="I133">
        <v>0</v>
      </c>
      <c r="J133">
        <v>10.735569999999999</v>
      </c>
      <c r="K133">
        <v>0.46245000000000003</v>
      </c>
      <c r="L133">
        <v>0.33</v>
      </c>
      <c r="M133">
        <v>0.67</v>
      </c>
      <c r="N133">
        <v>0</v>
      </c>
      <c r="O133">
        <v>0</v>
      </c>
      <c r="P133">
        <v>0</v>
      </c>
      <c r="Q133">
        <v>10.915900000000001</v>
      </c>
      <c r="R133">
        <v>0.42420000000000002</v>
      </c>
      <c r="S133">
        <v>0.33</v>
      </c>
      <c r="T133">
        <v>0.67</v>
      </c>
      <c r="U133">
        <v>0</v>
      </c>
      <c r="V133">
        <v>0</v>
      </c>
      <c r="W133">
        <v>0</v>
      </c>
      <c r="X133">
        <v>10.677670000000001</v>
      </c>
      <c r="Y133">
        <v>0.49187999999999998</v>
      </c>
      <c r="Z133">
        <v>0.33</v>
      </c>
      <c r="AA133">
        <v>0.67</v>
      </c>
      <c r="AB133">
        <v>0</v>
      </c>
      <c r="AC133">
        <v>0</v>
      </c>
      <c r="AD133">
        <v>0</v>
      </c>
      <c r="AF133">
        <v>0.04</v>
      </c>
      <c r="AG133">
        <v>121013</v>
      </c>
      <c r="AH133">
        <v>0</v>
      </c>
      <c r="AI133">
        <v>0</v>
      </c>
      <c r="AJ133">
        <v>0</v>
      </c>
      <c r="AK133">
        <v>0</v>
      </c>
      <c r="AL133">
        <v>0.05</v>
      </c>
      <c r="AM133">
        <v>147373</v>
      </c>
      <c r="AN133">
        <v>0</v>
      </c>
      <c r="AO133">
        <v>0</v>
      </c>
      <c r="AP133">
        <v>0</v>
      </c>
      <c r="AQ133">
        <v>0</v>
      </c>
      <c r="AR133">
        <v>0.05</v>
      </c>
      <c r="AS133">
        <v>142675</v>
      </c>
      <c r="AT133">
        <v>0</v>
      </c>
      <c r="AU133">
        <v>0</v>
      </c>
      <c r="AV133">
        <v>0</v>
      </c>
      <c r="AW133">
        <v>0</v>
      </c>
      <c r="BA133">
        <v>2772</v>
      </c>
      <c r="BB133" t="s">
        <v>328</v>
      </c>
      <c r="BC133">
        <v>259</v>
      </c>
      <c r="BD133">
        <v>247.3</v>
      </c>
    </row>
    <row r="134" spans="1:56" x14ac:dyDescent="0.25">
      <c r="A134">
        <v>2766</v>
      </c>
      <c r="B134" t="s">
        <v>606</v>
      </c>
      <c r="C134">
        <v>9.1745800000000006</v>
      </c>
      <c r="D134">
        <v>0.93257000000000001</v>
      </c>
      <c r="E134">
        <v>0.33</v>
      </c>
      <c r="F134">
        <v>1.34</v>
      </c>
      <c r="G134">
        <v>0</v>
      </c>
      <c r="H134">
        <v>0</v>
      </c>
      <c r="I134">
        <v>2.6776499999999999</v>
      </c>
      <c r="J134">
        <v>9.29758</v>
      </c>
      <c r="K134">
        <v>1.3679699999999999</v>
      </c>
      <c r="L134">
        <v>0.33</v>
      </c>
      <c r="M134">
        <v>1.34</v>
      </c>
      <c r="N134">
        <v>0</v>
      </c>
      <c r="O134">
        <v>0</v>
      </c>
      <c r="P134">
        <v>2.32301</v>
      </c>
      <c r="Q134">
        <v>9.6628699999999998</v>
      </c>
      <c r="R134">
        <v>1.2093100000000001</v>
      </c>
      <c r="S134">
        <v>0.33</v>
      </c>
      <c r="T134">
        <v>1.34</v>
      </c>
      <c r="U134">
        <v>0</v>
      </c>
      <c r="V134">
        <v>0</v>
      </c>
      <c r="W134">
        <v>2.4333300000000002</v>
      </c>
      <c r="X134">
        <v>9.9164200000000005</v>
      </c>
      <c r="Y134">
        <v>0.8377</v>
      </c>
      <c r="Z134">
        <v>0.33</v>
      </c>
      <c r="AA134">
        <v>1.34</v>
      </c>
      <c r="AB134">
        <v>0</v>
      </c>
      <c r="AC134">
        <v>0</v>
      </c>
      <c r="AD134">
        <v>2.5605099999999998</v>
      </c>
      <c r="AF134">
        <v>0.08</v>
      </c>
      <c r="AG134">
        <v>154095</v>
      </c>
      <c r="AH134">
        <v>0</v>
      </c>
      <c r="AI134">
        <v>0</v>
      </c>
      <c r="AJ134">
        <v>0</v>
      </c>
      <c r="AK134">
        <v>0</v>
      </c>
      <c r="AL134">
        <v>0.09</v>
      </c>
      <c r="AM134">
        <v>172295</v>
      </c>
      <c r="AN134">
        <v>0</v>
      </c>
      <c r="AO134">
        <v>0</v>
      </c>
      <c r="AP134">
        <v>0</v>
      </c>
      <c r="AQ134">
        <v>0</v>
      </c>
      <c r="AR134">
        <v>0.08</v>
      </c>
      <c r="AS134">
        <v>162256</v>
      </c>
      <c r="AT134">
        <v>0</v>
      </c>
      <c r="AU134">
        <v>0</v>
      </c>
      <c r="AV134">
        <v>0</v>
      </c>
      <c r="AW134">
        <v>0</v>
      </c>
      <c r="BA134">
        <v>2781</v>
      </c>
      <c r="BB134" t="s">
        <v>329</v>
      </c>
      <c r="BC134">
        <v>1199</v>
      </c>
      <c r="BD134">
        <v>1217.3</v>
      </c>
    </row>
    <row r="135" spans="1:56" x14ac:dyDescent="0.25">
      <c r="A135">
        <v>2772</v>
      </c>
      <c r="B135" t="s">
        <v>328</v>
      </c>
      <c r="C135">
        <v>10.68957</v>
      </c>
      <c r="D135">
        <v>0</v>
      </c>
      <c r="E135">
        <v>0.33</v>
      </c>
      <c r="F135">
        <v>0.96531999999999996</v>
      </c>
      <c r="G135">
        <v>0</v>
      </c>
      <c r="H135">
        <v>0</v>
      </c>
      <c r="I135">
        <v>0</v>
      </c>
      <c r="J135">
        <v>9.0373300000000008</v>
      </c>
      <c r="K135">
        <v>4.5759400000000001</v>
      </c>
      <c r="L135">
        <v>0.33</v>
      </c>
      <c r="M135">
        <v>0.96014999999999995</v>
      </c>
      <c r="N135">
        <v>0</v>
      </c>
      <c r="O135">
        <v>0</v>
      </c>
      <c r="P135">
        <v>0</v>
      </c>
      <c r="Q135">
        <v>14.11384</v>
      </c>
      <c r="R135">
        <v>0.91713999999999996</v>
      </c>
      <c r="S135">
        <v>0.33</v>
      </c>
      <c r="T135">
        <v>0</v>
      </c>
      <c r="U135">
        <v>0</v>
      </c>
      <c r="V135">
        <v>0</v>
      </c>
      <c r="W135">
        <v>0</v>
      </c>
      <c r="X135">
        <v>15.09041</v>
      </c>
      <c r="Y135">
        <v>0.50919999999999999</v>
      </c>
      <c r="Z135">
        <v>0.33</v>
      </c>
      <c r="AA135">
        <v>0</v>
      </c>
      <c r="AB135">
        <v>0</v>
      </c>
      <c r="AC135">
        <v>0</v>
      </c>
      <c r="AD135">
        <v>0</v>
      </c>
      <c r="AF135">
        <v>0.04</v>
      </c>
      <c r="AG135">
        <v>60590</v>
      </c>
      <c r="AH135">
        <v>0</v>
      </c>
      <c r="AI135">
        <v>0</v>
      </c>
      <c r="AJ135">
        <v>0.03</v>
      </c>
      <c r="AK135">
        <v>45443</v>
      </c>
      <c r="AL135">
        <v>0.04</v>
      </c>
      <c r="AM135">
        <v>60752</v>
      </c>
      <c r="AN135">
        <v>0</v>
      </c>
      <c r="AO135">
        <v>0</v>
      </c>
      <c r="AP135">
        <v>0</v>
      </c>
      <c r="AQ135">
        <v>0</v>
      </c>
      <c r="AR135">
        <v>0.04</v>
      </c>
      <c r="AS135">
        <v>53487</v>
      </c>
      <c r="AT135">
        <v>0</v>
      </c>
      <c r="AU135">
        <v>0</v>
      </c>
      <c r="AV135">
        <v>0</v>
      </c>
      <c r="AW135">
        <v>0</v>
      </c>
      <c r="BA135">
        <v>2826</v>
      </c>
      <c r="BB135" t="s">
        <v>330</v>
      </c>
      <c r="BC135">
        <v>1449</v>
      </c>
      <c r="BD135">
        <v>1424.8</v>
      </c>
    </row>
    <row r="136" spans="1:56" x14ac:dyDescent="0.25">
      <c r="A136">
        <v>2781</v>
      </c>
      <c r="B136" t="s">
        <v>329</v>
      </c>
      <c r="C136">
        <v>11.911149999999999</v>
      </c>
      <c r="D136">
        <v>0.46200000000000002</v>
      </c>
      <c r="E136">
        <v>0.33</v>
      </c>
      <c r="F136">
        <v>0.67</v>
      </c>
      <c r="G136">
        <v>0</v>
      </c>
      <c r="H136">
        <v>0</v>
      </c>
      <c r="I136">
        <v>1.42452</v>
      </c>
      <c r="J136">
        <v>11.420820000000001</v>
      </c>
      <c r="K136">
        <v>0.78490000000000004</v>
      </c>
      <c r="L136">
        <v>0.33</v>
      </c>
      <c r="M136">
        <v>0.67500000000000004</v>
      </c>
      <c r="N136">
        <v>0</v>
      </c>
      <c r="O136">
        <v>0</v>
      </c>
      <c r="P136">
        <v>1.80413</v>
      </c>
      <c r="Q136">
        <v>11.32925</v>
      </c>
      <c r="R136">
        <v>1.9522299999999999</v>
      </c>
      <c r="S136">
        <v>0.33</v>
      </c>
      <c r="T136">
        <v>0.67500000000000004</v>
      </c>
      <c r="U136">
        <v>0</v>
      </c>
      <c r="V136">
        <v>0</v>
      </c>
      <c r="W136">
        <v>1.7374400000000001</v>
      </c>
      <c r="X136">
        <v>12.779529999999999</v>
      </c>
      <c r="Y136">
        <v>1.15848</v>
      </c>
      <c r="Z136">
        <v>0.33</v>
      </c>
      <c r="AA136">
        <v>0.67500000000000004</v>
      </c>
      <c r="AB136">
        <v>0</v>
      </c>
      <c r="AC136">
        <v>0</v>
      </c>
      <c r="AD136">
        <v>1.9808399999999999</v>
      </c>
      <c r="AF136">
        <v>0.03</v>
      </c>
      <c r="AG136">
        <v>168005</v>
      </c>
      <c r="AH136">
        <v>0</v>
      </c>
      <c r="AI136">
        <v>0</v>
      </c>
      <c r="AJ136">
        <v>0</v>
      </c>
      <c r="AK136">
        <v>0</v>
      </c>
      <c r="AL136">
        <v>0.03</v>
      </c>
      <c r="AM136">
        <v>155464</v>
      </c>
      <c r="AN136">
        <v>0</v>
      </c>
      <c r="AO136">
        <v>0</v>
      </c>
      <c r="AP136">
        <v>0</v>
      </c>
      <c r="AQ136">
        <v>0</v>
      </c>
      <c r="AR136">
        <v>0.03</v>
      </c>
      <c r="AS136">
        <v>152516</v>
      </c>
      <c r="AT136">
        <v>0</v>
      </c>
      <c r="AU136">
        <v>0</v>
      </c>
      <c r="AV136">
        <v>0</v>
      </c>
      <c r="AW136">
        <v>0</v>
      </c>
      <c r="BA136">
        <v>2834</v>
      </c>
      <c r="BB136" t="s">
        <v>331</v>
      </c>
      <c r="BC136">
        <v>360</v>
      </c>
      <c r="BD136">
        <v>348.5</v>
      </c>
    </row>
    <row r="137" spans="1:56" x14ac:dyDescent="0.25">
      <c r="A137">
        <v>2826</v>
      </c>
      <c r="B137" t="s">
        <v>330</v>
      </c>
      <c r="C137">
        <v>9.5762300000000007</v>
      </c>
      <c r="D137">
        <v>0.97387999999999997</v>
      </c>
      <c r="E137">
        <v>0.33</v>
      </c>
      <c r="F137">
        <v>0.67</v>
      </c>
      <c r="G137">
        <v>0</v>
      </c>
      <c r="H137">
        <v>0</v>
      </c>
      <c r="I137">
        <v>0</v>
      </c>
      <c r="J137">
        <v>9.8421299999999992</v>
      </c>
      <c r="K137">
        <v>0.90146999999999999</v>
      </c>
      <c r="L137">
        <v>0.33</v>
      </c>
      <c r="M137">
        <v>0.67</v>
      </c>
      <c r="N137">
        <v>0</v>
      </c>
      <c r="O137">
        <v>0</v>
      </c>
      <c r="P137">
        <v>0</v>
      </c>
      <c r="Q137">
        <v>10.432729999999999</v>
      </c>
      <c r="R137">
        <v>1.1391199999999999</v>
      </c>
      <c r="S137">
        <v>0.33</v>
      </c>
      <c r="T137">
        <v>0.67</v>
      </c>
      <c r="U137">
        <v>0</v>
      </c>
      <c r="V137">
        <v>0</v>
      </c>
      <c r="W137">
        <v>0</v>
      </c>
      <c r="X137">
        <v>13.37499</v>
      </c>
      <c r="Y137">
        <v>1.0522</v>
      </c>
      <c r="Z137">
        <v>0.33</v>
      </c>
      <c r="AA137">
        <v>0.67</v>
      </c>
      <c r="AB137">
        <v>0</v>
      </c>
      <c r="AC137">
        <v>0</v>
      </c>
      <c r="AD137">
        <v>0</v>
      </c>
      <c r="AF137">
        <v>0.08</v>
      </c>
      <c r="AG137">
        <v>663183</v>
      </c>
      <c r="AH137">
        <v>0</v>
      </c>
      <c r="AI137">
        <v>0</v>
      </c>
      <c r="AJ137">
        <v>0</v>
      </c>
      <c r="AK137">
        <v>0</v>
      </c>
      <c r="AL137">
        <v>0.08</v>
      </c>
      <c r="AM137">
        <v>651904</v>
      </c>
      <c r="AN137">
        <v>0</v>
      </c>
      <c r="AO137">
        <v>0</v>
      </c>
      <c r="AP137">
        <v>0</v>
      </c>
      <c r="AQ137">
        <v>0</v>
      </c>
      <c r="AR137">
        <v>0.08</v>
      </c>
      <c r="AS137">
        <v>592413</v>
      </c>
      <c r="AT137">
        <v>0</v>
      </c>
      <c r="AU137">
        <v>0</v>
      </c>
      <c r="AV137">
        <v>0</v>
      </c>
      <c r="AW137">
        <v>0</v>
      </c>
      <c r="BA137">
        <v>2846</v>
      </c>
      <c r="BB137" t="s">
        <v>332</v>
      </c>
      <c r="BC137">
        <v>324.39999999999998</v>
      </c>
      <c r="BD137">
        <v>328</v>
      </c>
    </row>
    <row r="138" spans="1:56" x14ac:dyDescent="0.25">
      <c r="A138">
        <v>2834</v>
      </c>
      <c r="B138" t="s">
        <v>331</v>
      </c>
      <c r="C138">
        <v>16.375389999999999</v>
      </c>
      <c r="D138">
        <v>0.81972999999999996</v>
      </c>
      <c r="E138">
        <v>0.33</v>
      </c>
      <c r="F138">
        <v>0.67</v>
      </c>
      <c r="G138">
        <v>0</v>
      </c>
      <c r="H138">
        <v>0</v>
      </c>
      <c r="I138">
        <v>0.54059000000000001</v>
      </c>
      <c r="J138">
        <v>14.85918</v>
      </c>
      <c r="K138">
        <v>2.1122100000000001</v>
      </c>
      <c r="L138">
        <v>0.33</v>
      </c>
      <c r="M138">
        <v>0.67</v>
      </c>
      <c r="N138">
        <v>0</v>
      </c>
      <c r="O138">
        <v>0</v>
      </c>
      <c r="P138">
        <v>0.51522000000000001</v>
      </c>
      <c r="Q138">
        <v>15.5029</v>
      </c>
      <c r="R138">
        <v>2.2035300000000002</v>
      </c>
      <c r="S138">
        <v>0.33</v>
      </c>
      <c r="T138">
        <v>0.67</v>
      </c>
      <c r="U138">
        <v>0</v>
      </c>
      <c r="V138">
        <v>0</v>
      </c>
      <c r="W138">
        <v>0.29294999999999999</v>
      </c>
      <c r="X138">
        <v>16.31955</v>
      </c>
      <c r="Y138">
        <v>2.2566000000000002</v>
      </c>
      <c r="Z138">
        <v>0</v>
      </c>
      <c r="AA138">
        <v>0.67</v>
      </c>
      <c r="AB138">
        <v>0</v>
      </c>
      <c r="AC138">
        <v>0</v>
      </c>
      <c r="AD138">
        <v>1.3658399999999999</v>
      </c>
      <c r="AF138">
        <v>0.11</v>
      </c>
      <c r="AG138">
        <v>146495</v>
      </c>
      <c r="AH138">
        <v>0</v>
      </c>
      <c r="AI138">
        <v>0</v>
      </c>
      <c r="AJ138">
        <v>0</v>
      </c>
      <c r="AK138">
        <v>0</v>
      </c>
      <c r="AL138">
        <v>0.12</v>
      </c>
      <c r="AM138">
        <v>156455</v>
      </c>
      <c r="AN138">
        <v>0</v>
      </c>
      <c r="AO138">
        <v>0</v>
      </c>
      <c r="AP138">
        <v>0</v>
      </c>
      <c r="AQ138">
        <v>0</v>
      </c>
      <c r="AR138">
        <v>0.13</v>
      </c>
      <c r="AS138">
        <v>155172</v>
      </c>
      <c r="AT138">
        <v>0</v>
      </c>
      <c r="AU138">
        <v>0</v>
      </c>
      <c r="AV138">
        <v>0</v>
      </c>
      <c r="AW138">
        <v>0</v>
      </c>
      <c r="BA138">
        <v>2862</v>
      </c>
      <c r="BB138" t="s">
        <v>333</v>
      </c>
      <c r="BC138">
        <v>632.29999999999995</v>
      </c>
      <c r="BD138">
        <v>619.5</v>
      </c>
    </row>
    <row r="139" spans="1:56" x14ac:dyDescent="0.25">
      <c r="A139">
        <v>2846</v>
      </c>
      <c r="B139" t="s">
        <v>332</v>
      </c>
      <c r="C139">
        <v>8.2832000000000008</v>
      </c>
      <c r="D139">
        <v>0.47131000000000001</v>
      </c>
      <c r="E139">
        <v>0.33</v>
      </c>
      <c r="F139">
        <v>0</v>
      </c>
      <c r="G139">
        <v>0</v>
      </c>
      <c r="H139">
        <v>0</v>
      </c>
      <c r="I139">
        <v>1.3645400000000001</v>
      </c>
      <c r="J139">
        <v>8.5070399999999999</v>
      </c>
      <c r="K139">
        <v>0.50882000000000005</v>
      </c>
      <c r="L139">
        <v>0.33</v>
      </c>
      <c r="M139">
        <v>0</v>
      </c>
      <c r="N139">
        <v>0</v>
      </c>
      <c r="O139">
        <v>0</v>
      </c>
      <c r="P139">
        <v>1.45712</v>
      </c>
      <c r="Q139">
        <v>8.3594100000000005</v>
      </c>
      <c r="R139">
        <v>0.88265000000000005</v>
      </c>
      <c r="S139">
        <v>0.33</v>
      </c>
      <c r="T139">
        <v>0</v>
      </c>
      <c r="U139">
        <v>0</v>
      </c>
      <c r="V139">
        <v>0</v>
      </c>
      <c r="W139">
        <v>1.61222</v>
      </c>
      <c r="X139">
        <v>8.4801699999999993</v>
      </c>
      <c r="Y139">
        <v>1.1448799999999999</v>
      </c>
      <c r="Z139">
        <v>0.33</v>
      </c>
      <c r="AA139">
        <v>0</v>
      </c>
      <c r="AB139">
        <v>0</v>
      </c>
      <c r="AC139">
        <v>0</v>
      </c>
      <c r="AD139">
        <v>1.7189099999999999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BA139">
        <v>2977</v>
      </c>
      <c r="BB139" t="s">
        <v>334</v>
      </c>
      <c r="BC139">
        <v>659.6</v>
      </c>
      <c r="BD139">
        <v>649.5</v>
      </c>
    </row>
    <row r="140" spans="1:56" x14ac:dyDescent="0.25">
      <c r="A140">
        <v>2862</v>
      </c>
      <c r="B140" t="s">
        <v>333</v>
      </c>
      <c r="C140">
        <v>10.452809999999999</v>
      </c>
      <c r="D140">
        <v>1.0151699999999999</v>
      </c>
      <c r="E140">
        <v>0.33</v>
      </c>
      <c r="F140">
        <v>0.39589999999999997</v>
      </c>
      <c r="G140">
        <v>0</v>
      </c>
      <c r="H140">
        <v>0</v>
      </c>
      <c r="I140">
        <v>0</v>
      </c>
      <c r="J140">
        <v>11.694940000000001</v>
      </c>
      <c r="K140">
        <v>0.56037000000000003</v>
      </c>
      <c r="L140">
        <v>0.33</v>
      </c>
      <c r="M140">
        <v>0.41475000000000001</v>
      </c>
      <c r="N140">
        <v>0</v>
      </c>
      <c r="O140">
        <v>0</v>
      </c>
      <c r="P140">
        <v>0</v>
      </c>
      <c r="Q140">
        <v>11.80415</v>
      </c>
      <c r="R140">
        <v>0.53191999999999995</v>
      </c>
      <c r="S140">
        <v>0.33</v>
      </c>
      <c r="T140">
        <v>0.43162</v>
      </c>
      <c r="U140">
        <v>0</v>
      </c>
      <c r="V140">
        <v>0</v>
      </c>
      <c r="W140">
        <v>0.28748000000000001</v>
      </c>
      <c r="X140">
        <v>12.313129999999999</v>
      </c>
      <c r="Y140">
        <v>0.50439000000000001</v>
      </c>
      <c r="Z140">
        <v>0.33</v>
      </c>
      <c r="AA140">
        <v>0.29250999999999999</v>
      </c>
      <c r="AB140">
        <v>0</v>
      </c>
      <c r="AC140">
        <v>0</v>
      </c>
      <c r="AD140">
        <v>0</v>
      </c>
      <c r="AF140">
        <v>0.05</v>
      </c>
      <c r="AG140">
        <v>191045</v>
      </c>
      <c r="AH140">
        <v>0</v>
      </c>
      <c r="AI140">
        <v>0</v>
      </c>
      <c r="AJ140">
        <v>0.02</v>
      </c>
      <c r="AK140">
        <v>76418</v>
      </c>
      <c r="AL140">
        <v>0.05</v>
      </c>
      <c r="AM140">
        <v>171161</v>
      </c>
      <c r="AN140">
        <v>0</v>
      </c>
      <c r="AO140">
        <v>0</v>
      </c>
      <c r="AP140">
        <v>0.02</v>
      </c>
      <c r="AQ140">
        <v>68464</v>
      </c>
      <c r="AR140">
        <v>0.05</v>
      </c>
      <c r="AS140">
        <v>165897</v>
      </c>
      <c r="AT140">
        <v>0</v>
      </c>
      <c r="AU140">
        <v>0</v>
      </c>
      <c r="AV140">
        <v>0.03</v>
      </c>
      <c r="AW140">
        <v>99538</v>
      </c>
      <c r="BA140">
        <v>2988</v>
      </c>
      <c r="BB140" t="s">
        <v>335</v>
      </c>
      <c r="BC140">
        <v>529.79999999999995</v>
      </c>
      <c r="BD140">
        <v>546.6</v>
      </c>
    </row>
    <row r="141" spans="1:56" x14ac:dyDescent="0.25">
      <c r="A141">
        <v>2977</v>
      </c>
      <c r="B141" t="s">
        <v>334</v>
      </c>
      <c r="C141">
        <v>12.6549</v>
      </c>
      <c r="D141">
        <v>1.3104899999999999</v>
      </c>
      <c r="E141">
        <v>0.33</v>
      </c>
      <c r="F141">
        <v>1</v>
      </c>
      <c r="G141">
        <v>0</v>
      </c>
      <c r="H141">
        <v>0</v>
      </c>
      <c r="I141">
        <v>0.92001999999999995</v>
      </c>
      <c r="J141">
        <v>12.98034</v>
      </c>
      <c r="K141">
        <v>1.2829999999999999</v>
      </c>
      <c r="L141">
        <v>0.33</v>
      </c>
      <c r="M141">
        <v>1</v>
      </c>
      <c r="N141">
        <v>0</v>
      </c>
      <c r="O141">
        <v>0</v>
      </c>
      <c r="P141">
        <v>0.93156000000000005</v>
      </c>
      <c r="Q141">
        <v>13.69943</v>
      </c>
      <c r="R141">
        <v>0.81213999999999997</v>
      </c>
      <c r="S141">
        <v>0.33</v>
      </c>
      <c r="T141">
        <v>1</v>
      </c>
      <c r="U141">
        <v>0</v>
      </c>
      <c r="V141">
        <v>0</v>
      </c>
      <c r="W141">
        <v>0.77847999999999995</v>
      </c>
      <c r="X141">
        <v>13.12875</v>
      </c>
      <c r="Y141">
        <v>0.86336000000000002</v>
      </c>
      <c r="Z141">
        <v>0.33</v>
      </c>
      <c r="AA141">
        <v>1.34</v>
      </c>
      <c r="AB141">
        <v>0</v>
      </c>
      <c r="AC141">
        <v>0</v>
      </c>
      <c r="AD141">
        <v>0.83914999999999995</v>
      </c>
      <c r="AF141">
        <v>0.08</v>
      </c>
      <c r="AG141">
        <v>302027</v>
      </c>
      <c r="AH141">
        <v>0</v>
      </c>
      <c r="AI141">
        <v>0</v>
      </c>
      <c r="AJ141">
        <v>0</v>
      </c>
      <c r="AK141">
        <v>0</v>
      </c>
      <c r="AL141">
        <v>0.08</v>
      </c>
      <c r="AM141">
        <v>271664</v>
      </c>
      <c r="AN141">
        <v>0</v>
      </c>
      <c r="AO141">
        <v>0</v>
      </c>
      <c r="AP141">
        <v>0</v>
      </c>
      <c r="AQ141">
        <v>0</v>
      </c>
      <c r="AR141">
        <v>0.09</v>
      </c>
      <c r="AS141">
        <v>286693</v>
      </c>
      <c r="AT141">
        <v>0</v>
      </c>
      <c r="AU141">
        <v>0</v>
      </c>
      <c r="AV141">
        <v>0</v>
      </c>
      <c r="AW141">
        <v>0</v>
      </c>
      <c r="BA141">
        <v>2766</v>
      </c>
      <c r="BB141" t="s">
        <v>606</v>
      </c>
      <c r="BC141">
        <v>313.7</v>
      </c>
      <c r="BD141">
        <v>324.89999999999998</v>
      </c>
    </row>
    <row r="142" spans="1:56" x14ac:dyDescent="0.25">
      <c r="A142">
        <v>2988</v>
      </c>
      <c r="B142" t="s">
        <v>335</v>
      </c>
      <c r="C142">
        <v>9.1850699999999996</v>
      </c>
      <c r="D142">
        <v>1.4415100000000001</v>
      </c>
      <c r="E142">
        <v>0.33</v>
      </c>
      <c r="F142">
        <v>0.67</v>
      </c>
      <c r="G142">
        <v>0</v>
      </c>
      <c r="H142">
        <v>0</v>
      </c>
      <c r="I142">
        <v>2.18472</v>
      </c>
      <c r="J142">
        <v>8.9381599999999999</v>
      </c>
      <c r="K142">
        <v>1.3799600000000001</v>
      </c>
      <c r="L142">
        <v>0.33</v>
      </c>
      <c r="M142">
        <v>0.67</v>
      </c>
      <c r="N142">
        <v>0</v>
      </c>
      <c r="O142">
        <v>0</v>
      </c>
      <c r="P142">
        <v>2.2782900000000001</v>
      </c>
      <c r="Q142">
        <v>11.374079999999999</v>
      </c>
      <c r="R142">
        <v>1.09544</v>
      </c>
      <c r="S142">
        <v>0.33</v>
      </c>
      <c r="T142">
        <v>0.67</v>
      </c>
      <c r="U142">
        <v>0</v>
      </c>
      <c r="V142">
        <v>0</v>
      </c>
      <c r="W142">
        <v>2.3883000000000001</v>
      </c>
      <c r="X142">
        <v>11.51009</v>
      </c>
      <c r="Y142">
        <v>0.95992</v>
      </c>
      <c r="Z142">
        <v>0.33</v>
      </c>
      <c r="AA142">
        <v>0.67</v>
      </c>
      <c r="AB142">
        <v>0</v>
      </c>
      <c r="AC142">
        <v>0</v>
      </c>
      <c r="AD142">
        <v>2.5504600000000002</v>
      </c>
      <c r="AF142">
        <v>7.0000000000000007E-2</v>
      </c>
      <c r="AG142">
        <v>254059</v>
      </c>
      <c r="AH142">
        <v>0</v>
      </c>
      <c r="AI142">
        <v>0</v>
      </c>
      <c r="AJ142">
        <v>0</v>
      </c>
      <c r="AK142">
        <v>0</v>
      </c>
      <c r="AL142">
        <v>7.0000000000000007E-2</v>
      </c>
      <c r="AM142">
        <v>224647</v>
      </c>
      <c r="AN142">
        <v>0</v>
      </c>
      <c r="AO142">
        <v>0</v>
      </c>
      <c r="AP142">
        <v>0</v>
      </c>
      <c r="AQ142">
        <v>0</v>
      </c>
      <c r="AR142">
        <v>7.0000000000000007E-2</v>
      </c>
      <c r="AS142">
        <v>237440</v>
      </c>
      <c r="AT142">
        <v>0</v>
      </c>
      <c r="AU142">
        <v>0</v>
      </c>
      <c r="AV142">
        <v>0</v>
      </c>
      <c r="AW142">
        <v>0</v>
      </c>
      <c r="BA142">
        <v>3029</v>
      </c>
      <c r="BB142" t="s">
        <v>336</v>
      </c>
      <c r="BC142">
        <v>1320.8</v>
      </c>
      <c r="BD142">
        <v>1297.0999999999999</v>
      </c>
    </row>
    <row r="143" spans="1:56" x14ac:dyDescent="0.25">
      <c r="A143">
        <v>3029</v>
      </c>
      <c r="B143" t="s">
        <v>336</v>
      </c>
      <c r="C143">
        <v>10.04618</v>
      </c>
      <c r="D143">
        <v>1.23743</v>
      </c>
      <c r="E143">
        <v>0.33</v>
      </c>
      <c r="F143">
        <v>0.36642000000000002</v>
      </c>
      <c r="G143">
        <v>0</v>
      </c>
      <c r="H143">
        <v>0</v>
      </c>
      <c r="I143">
        <v>0</v>
      </c>
      <c r="J143">
        <v>11.62143</v>
      </c>
      <c r="K143">
        <v>1.4307799999999999</v>
      </c>
      <c r="L143">
        <v>0.33</v>
      </c>
      <c r="M143">
        <v>9.7680000000000003E-2</v>
      </c>
      <c r="N143">
        <v>0</v>
      </c>
      <c r="O143">
        <v>0</v>
      </c>
      <c r="P143">
        <v>0</v>
      </c>
      <c r="Q143">
        <v>12.14578</v>
      </c>
      <c r="R143">
        <v>1.3694299999999999</v>
      </c>
      <c r="S143">
        <v>0.33</v>
      </c>
      <c r="T143">
        <v>0.15976000000000001</v>
      </c>
      <c r="U143">
        <v>0</v>
      </c>
      <c r="V143">
        <v>0</v>
      </c>
      <c r="W143">
        <v>0</v>
      </c>
      <c r="X143">
        <v>12.1029</v>
      </c>
      <c r="Y143">
        <v>1.3698399999999999</v>
      </c>
      <c r="Z143">
        <v>0.33</v>
      </c>
      <c r="AA143">
        <v>0.17213000000000001</v>
      </c>
      <c r="AB143">
        <v>0</v>
      </c>
      <c r="AC143">
        <v>0</v>
      </c>
      <c r="AD143">
        <v>0</v>
      </c>
      <c r="AF143">
        <v>0.08</v>
      </c>
      <c r="AG143">
        <v>536930</v>
      </c>
      <c r="AH143">
        <v>0</v>
      </c>
      <c r="AI143">
        <v>0</v>
      </c>
      <c r="AJ143">
        <v>0.04</v>
      </c>
      <c r="AK143">
        <v>268465</v>
      </c>
      <c r="AL143">
        <v>0.08</v>
      </c>
      <c r="AM143">
        <v>458756</v>
      </c>
      <c r="AN143">
        <v>0</v>
      </c>
      <c r="AO143">
        <v>0</v>
      </c>
      <c r="AP143">
        <v>0.04</v>
      </c>
      <c r="AQ143">
        <v>229378</v>
      </c>
      <c r="AR143">
        <v>0.08</v>
      </c>
      <c r="AS143">
        <v>423050</v>
      </c>
      <c r="AT143">
        <v>0</v>
      </c>
      <c r="AU143">
        <v>0</v>
      </c>
      <c r="AV143">
        <v>0.04</v>
      </c>
      <c r="AW143">
        <v>211525</v>
      </c>
      <c r="BA143">
        <v>3033</v>
      </c>
      <c r="BB143" t="s">
        <v>337</v>
      </c>
      <c r="BC143">
        <v>426.7</v>
      </c>
      <c r="BD143">
        <v>436.8</v>
      </c>
    </row>
    <row r="144" spans="1:56" x14ac:dyDescent="0.25">
      <c r="A144">
        <v>3033</v>
      </c>
      <c r="B144" t="s">
        <v>337</v>
      </c>
      <c r="C144">
        <v>9.9808900000000005</v>
      </c>
      <c r="D144">
        <v>0</v>
      </c>
      <c r="E144">
        <v>0.33</v>
      </c>
      <c r="F144">
        <v>1.34</v>
      </c>
      <c r="G144">
        <v>0</v>
      </c>
      <c r="H144">
        <v>0</v>
      </c>
      <c r="I144">
        <v>2.3646500000000001</v>
      </c>
      <c r="J144">
        <v>9.1509699999999992</v>
      </c>
      <c r="K144">
        <v>0.22792000000000001</v>
      </c>
      <c r="L144">
        <v>0.33</v>
      </c>
      <c r="M144">
        <v>1.34</v>
      </c>
      <c r="N144">
        <v>0</v>
      </c>
      <c r="O144">
        <v>0</v>
      </c>
      <c r="P144">
        <v>2.4055</v>
      </c>
      <c r="Q144">
        <v>9.8288799999999998</v>
      </c>
      <c r="R144">
        <v>0.48270000000000002</v>
      </c>
      <c r="S144">
        <v>0.33</v>
      </c>
      <c r="T144">
        <v>1.34</v>
      </c>
      <c r="U144">
        <v>0</v>
      </c>
      <c r="V144">
        <v>0</v>
      </c>
      <c r="W144">
        <v>0</v>
      </c>
      <c r="X144">
        <v>11.46636</v>
      </c>
      <c r="Y144">
        <v>0.67403000000000002</v>
      </c>
      <c r="Z144">
        <v>0.33</v>
      </c>
      <c r="AA144">
        <v>1.34</v>
      </c>
      <c r="AB144">
        <v>0</v>
      </c>
      <c r="AC144">
        <v>0</v>
      </c>
      <c r="AD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BA144">
        <v>3042</v>
      </c>
      <c r="BB144" t="s">
        <v>338</v>
      </c>
      <c r="BC144">
        <v>692</v>
      </c>
      <c r="BD144">
        <v>670</v>
      </c>
    </row>
    <row r="145" spans="1:56" x14ac:dyDescent="0.25">
      <c r="A145">
        <v>3042</v>
      </c>
      <c r="B145" t="s">
        <v>338</v>
      </c>
      <c r="C145">
        <v>12.1206</v>
      </c>
      <c r="D145">
        <v>1.1466700000000001</v>
      </c>
      <c r="E145">
        <v>0.33</v>
      </c>
      <c r="F145">
        <v>1.34</v>
      </c>
      <c r="G145">
        <v>0</v>
      </c>
      <c r="H145">
        <v>0</v>
      </c>
      <c r="I145">
        <v>0</v>
      </c>
      <c r="J145">
        <v>13.330030000000001</v>
      </c>
      <c r="K145">
        <v>0.78649999999999998</v>
      </c>
      <c r="L145">
        <v>0.33</v>
      </c>
      <c r="M145">
        <v>1.34</v>
      </c>
      <c r="N145">
        <v>0</v>
      </c>
      <c r="O145">
        <v>0</v>
      </c>
      <c r="P145">
        <v>0</v>
      </c>
      <c r="Q145">
        <v>13.82009</v>
      </c>
      <c r="R145">
        <v>1.0004299999999999</v>
      </c>
      <c r="S145">
        <v>0.33</v>
      </c>
      <c r="T145">
        <v>1.34</v>
      </c>
      <c r="U145">
        <v>0</v>
      </c>
      <c r="V145">
        <v>0</v>
      </c>
      <c r="W145">
        <v>0</v>
      </c>
      <c r="X145">
        <v>14.27238</v>
      </c>
      <c r="Y145">
        <v>0.9496</v>
      </c>
      <c r="Z145">
        <v>0.33</v>
      </c>
      <c r="AA145">
        <v>1.34</v>
      </c>
      <c r="AB145">
        <v>0</v>
      </c>
      <c r="AC145">
        <v>0</v>
      </c>
      <c r="AD145">
        <v>0</v>
      </c>
      <c r="AF145">
        <v>0.08</v>
      </c>
      <c r="AG145">
        <v>294101</v>
      </c>
      <c r="AH145">
        <v>0</v>
      </c>
      <c r="AI145">
        <v>0</v>
      </c>
      <c r="AJ145">
        <v>0</v>
      </c>
      <c r="AK145">
        <v>0</v>
      </c>
      <c r="AL145">
        <v>0.08</v>
      </c>
      <c r="AM145">
        <v>285719</v>
      </c>
      <c r="AN145">
        <v>0</v>
      </c>
      <c r="AO145">
        <v>0</v>
      </c>
      <c r="AP145">
        <v>0</v>
      </c>
      <c r="AQ145">
        <v>0</v>
      </c>
      <c r="AR145">
        <v>0.08</v>
      </c>
      <c r="AS145">
        <v>271644</v>
      </c>
      <c r="AT145">
        <v>0</v>
      </c>
      <c r="AU145">
        <v>0</v>
      </c>
      <c r="AV145">
        <v>0</v>
      </c>
      <c r="AW145">
        <v>0</v>
      </c>
      <c r="BA145">
        <v>3060</v>
      </c>
      <c r="BB145" t="s">
        <v>339</v>
      </c>
      <c r="BC145">
        <v>1164.5</v>
      </c>
      <c r="BD145">
        <v>1189.5</v>
      </c>
    </row>
    <row r="146" spans="1:56" x14ac:dyDescent="0.25">
      <c r="A146">
        <v>3060</v>
      </c>
      <c r="B146" t="s">
        <v>339</v>
      </c>
      <c r="C146">
        <v>11.498530000000001</v>
      </c>
      <c r="D146">
        <v>0.32401000000000002</v>
      </c>
      <c r="E146">
        <v>0.33</v>
      </c>
      <c r="F146">
        <v>0.67</v>
      </c>
      <c r="G146">
        <v>0</v>
      </c>
      <c r="H146">
        <v>0</v>
      </c>
      <c r="I146">
        <v>0</v>
      </c>
      <c r="J146">
        <v>11.07497</v>
      </c>
      <c r="K146">
        <v>0.19550000000000001</v>
      </c>
      <c r="L146">
        <v>0.33</v>
      </c>
      <c r="M146">
        <v>0.67</v>
      </c>
      <c r="N146">
        <v>0</v>
      </c>
      <c r="O146">
        <v>0</v>
      </c>
      <c r="P146">
        <v>0</v>
      </c>
      <c r="Q146">
        <v>10.794460000000001</v>
      </c>
      <c r="R146">
        <v>0.62097999999999998</v>
      </c>
      <c r="S146">
        <v>0.33</v>
      </c>
      <c r="T146">
        <v>0.67</v>
      </c>
      <c r="U146">
        <v>0</v>
      </c>
      <c r="V146">
        <v>0</v>
      </c>
      <c r="W146">
        <v>0</v>
      </c>
      <c r="X146">
        <v>11.797890000000001</v>
      </c>
      <c r="Y146">
        <v>0.13775000000000001</v>
      </c>
      <c r="Z146">
        <v>0.33</v>
      </c>
      <c r="AA146">
        <v>0.67</v>
      </c>
      <c r="AB146">
        <v>0</v>
      </c>
      <c r="AC146">
        <v>0</v>
      </c>
      <c r="AD146">
        <v>0</v>
      </c>
      <c r="AF146">
        <v>7.0000000000000007E-2</v>
      </c>
      <c r="AG146">
        <v>545659</v>
      </c>
      <c r="AH146">
        <v>0</v>
      </c>
      <c r="AI146">
        <v>0</v>
      </c>
      <c r="AJ146">
        <v>0</v>
      </c>
      <c r="AK146">
        <v>0</v>
      </c>
      <c r="AL146">
        <v>7.0000000000000007E-2</v>
      </c>
      <c r="AM146">
        <v>531909</v>
      </c>
      <c r="AN146">
        <v>0</v>
      </c>
      <c r="AO146">
        <v>0</v>
      </c>
      <c r="AP146">
        <v>0</v>
      </c>
      <c r="AQ146">
        <v>0</v>
      </c>
      <c r="AR146">
        <v>7.0000000000000007E-2</v>
      </c>
      <c r="AS146">
        <v>514708</v>
      </c>
      <c r="AT146">
        <v>0</v>
      </c>
      <c r="AU146">
        <v>0</v>
      </c>
      <c r="AV146">
        <v>0</v>
      </c>
      <c r="AW146">
        <v>0</v>
      </c>
      <c r="BA146">
        <v>3168</v>
      </c>
      <c r="BB146" t="s">
        <v>607</v>
      </c>
      <c r="BC146">
        <v>731.5</v>
      </c>
      <c r="BD146">
        <v>706.8</v>
      </c>
    </row>
    <row r="147" spans="1:56" x14ac:dyDescent="0.25">
      <c r="A147">
        <v>3105</v>
      </c>
      <c r="B147" t="s">
        <v>341</v>
      </c>
      <c r="C147">
        <v>12.84759</v>
      </c>
      <c r="D147">
        <v>0.75243000000000004</v>
      </c>
      <c r="E147">
        <v>0.33</v>
      </c>
      <c r="F147">
        <v>0.4</v>
      </c>
      <c r="G147">
        <v>0</v>
      </c>
      <c r="H147">
        <v>0</v>
      </c>
      <c r="I147">
        <v>2.5266799999999998</v>
      </c>
      <c r="J147">
        <v>13.0335</v>
      </c>
      <c r="K147">
        <v>0.91873000000000005</v>
      </c>
      <c r="L147">
        <v>0.33</v>
      </c>
      <c r="M147">
        <v>0.4</v>
      </c>
      <c r="N147">
        <v>0</v>
      </c>
      <c r="O147">
        <v>0</v>
      </c>
      <c r="P147">
        <v>2.5967099999999999</v>
      </c>
      <c r="Q147">
        <v>12.936920000000001</v>
      </c>
      <c r="R147">
        <v>1.1663600000000001</v>
      </c>
      <c r="S147">
        <v>0.33</v>
      </c>
      <c r="T147">
        <v>0.4</v>
      </c>
      <c r="U147">
        <v>0</v>
      </c>
      <c r="V147">
        <v>0</v>
      </c>
      <c r="W147">
        <v>2.6882999999999999</v>
      </c>
      <c r="X147">
        <v>13.309279999999999</v>
      </c>
      <c r="Y147">
        <v>1.01431</v>
      </c>
      <c r="Z147">
        <v>0.31911</v>
      </c>
      <c r="AA147">
        <v>0.4</v>
      </c>
      <c r="AB147">
        <v>0</v>
      </c>
      <c r="AC147">
        <v>0</v>
      </c>
      <c r="AD147">
        <v>0</v>
      </c>
      <c r="AF147">
        <v>7.0000000000000007E-2</v>
      </c>
      <c r="AG147">
        <v>552431</v>
      </c>
      <c r="AH147">
        <v>0</v>
      </c>
      <c r="AI147">
        <v>0</v>
      </c>
      <c r="AJ147">
        <v>0</v>
      </c>
      <c r="AK147">
        <v>0</v>
      </c>
      <c r="AL147">
        <v>0.08</v>
      </c>
      <c r="AM147">
        <v>592714</v>
      </c>
      <c r="AN147">
        <v>0</v>
      </c>
      <c r="AO147">
        <v>0</v>
      </c>
      <c r="AP147">
        <v>0</v>
      </c>
      <c r="AQ147">
        <v>0</v>
      </c>
      <c r="AR147">
        <v>0.08</v>
      </c>
      <c r="AS147">
        <v>592937</v>
      </c>
      <c r="AT147">
        <v>0</v>
      </c>
      <c r="AU147">
        <v>0</v>
      </c>
      <c r="AV147">
        <v>0</v>
      </c>
      <c r="AW147">
        <v>0</v>
      </c>
      <c r="BA147">
        <v>3105</v>
      </c>
      <c r="BB147" t="s">
        <v>341</v>
      </c>
      <c r="BC147">
        <v>1381.1</v>
      </c>
      <c r="BD147">
        <v>1391.2</v>
      </c>
    </row>
    <row r="148" spans="1:56" x14ac:dyDescent="0.25">
      <c r="A148">
        <v>3114</v>
      </c>
      <c r="B148" t="s">
        <v>342</v>
      </c>
      <c r="C148">
        <v>12.085150000000001</v>
      </c>
      <c r="D148">
        <v>1.33</v>
      </c>
      <c r="E148">
        <v>0.33</v>
      </c>
      <c r="F148">
        <v>1.34</v>
      </c>
      <c r="G148">
        <v>0</v>
      </c>
      <c r="H148">
        <v>0</v>
      </c>
      <c r="I148">
        <v>4.05</v>
      </c>
      <c r="J148">
        <v>12.573230000000001</v>
      </c>
      <c r="K148">
        <v>1.3285800000000001</v>
      </c>
      <c r="L148">
        <v>0.33</v>
      </c>
      <c r="M148">
        <v>1.34</v>
      </c>
      <c r="N148">
        <v>0</v>
      </c>
      <c r="O148">
        <v>0</v>
      </c>
      <c r="P148">
        <v>2.0924100000000001</v>
      </c>
      <c r="Q148">
        <v>15.08785</v>
      </c>
      <c r="R148">
        <v>1.0440400000000001</v>
      </c>
      <c r="S148">
        <v>0.33</v>
      </c>
      <c r="T148">
        <v>1.34</v>
      </c>
      <c r="U148">
        <v>0</v>
      </c>
      <c r="V148">
        <v>0</v>
      </c>
      <c r="W148">
        <v>2.65754</v>
      </c>
      <c r="X148">
        <v>15.17179</v>
      </c>
      <c r="Y148">
        <v>0.86834999999999996</v>
      </c>
      <c r="Z148">
        <v>0.33</v>
      </c>
      <c r="AA148">
        <v>1.34</v>
      </c>
      <c r="AB148">
        <v>0</v>
      </c>
      <c r="AC148">
        <v>0</v>
      </c>
      <c r="AD148">
        <v>3.1865199999999998</v>
      </c>
      <c r="AF148">
        <v>0.05</v>
      </c>
      <c r="AG148">
        <v>885372</v>
      </c>
      <c r="AH148">
        <v>0</v>
      </c>
      <c r="AI148">
        <v>0</v>
      </c>
      <c r="AJ148">
        <v>0</v>
      </c>
      <c r="AK148">
        <v>0</v>
      </c>
      <c r="AL148">
        <v>0.05</v>
      </c>
      <c r="AM148">
        <v>875627</v>
      </c>
      <c r="AN148">
        <v>0</v>
      </c>
      <c r="AO148">
        <v>0</v>
      </c>
      <c r="AP148">
        <v>0</v>
      </c>
      <c r="AQ148">
        <v>0</v>
      </c>
      <c r="AR148">
        <v>0.05</v>
      </c>
      <c r="AS148">
        <v>858871</v>
      </c>
      <c r="AT148">
        <v>0</v>
      </c>
      <c r="AU148">
        <v>0</v>
      </c>
      <c r="AV148">
        <v>0</v>
      </c>
      <c r="AW148">
        <v>0</v>
      </c>
      <c r="BA148">
        <v>3114</v>
      </c>
      <c r="BB148" t="s">
        <v>342</v>
      </c>
      <c r="BC148">
        <v>3409.4</v>
      </c>
      <c r="BD148">
        <v>3402.8</v>
      </c>
    </row>
    <row r="149" spans="1:56" x14ac:dyDescent="0.25">
      <c r="A149">
        <v>3119</v>
      </c>
      <c r="B149" t="s">
        <v>343</v>
      </c>
      <c r="C149">
        <v>12.18892</v>
      </c>
      <c r="D149">
        <v>2.2270500000000002</v>
      </c>
      <c r="E149">
        <v>0.33</v>
      </c>
      <c r="F149">
        <v>1.34</v>
      </c>
      <c r="G149">
        <v>0</v>
      </c>
      <c r="H149">
        <v>0</v>
      </c>
      <c r="I149">
        <v>2.2829999999999999</v>
      </c>
      <c r="J149">
        <v>12.3315</v>
      </c>
      <c r="K149">
        <v>2.2507999999999999</v>
      </c>
      <c r="L149">
        <v>0.33</v>
      </c>
      <c r="M149">
        <v>1.34</v>
      </c>
      <c r="N149">
        <v>0</v>
      </c>
      <c r="O149">
        <v>0</v>
      </c>
      <c r="P149">
        <v>2.23976</v>
      </c>
      <c r="Q149">
        <v>12.389279999999999</v>
      </c>
      <c r="R149">
        <v>0.57815000000000005</v>
      </c>
      <c r="S149">
        <v>0.33</v>
      </c>
      <c r="T149">
        <v>1.34</v>
      </c>
      <c r="U149">
        <v>0</v>
      </c>
      <c r="V149">
        <v>0</v>
      </c>
      <c r="W149">
        <v>3.7263500000000001</v>
      </c>
      <c r="X149">
        <v>12.734579999999999</v>
      </c>
      <c r="Y149">
        <v>1.1751799999999999</v>
      </c>
      <c r="Z149">
        <v>0.33</v>
      </c>
      <c r="AA149">
        <v>1.34</v>
      </c>
      <c r="AB149">
        <v>0</v>
      </c>
      <c r="AC149">
        <v>0</v>
      </c>
      <c r="AD149">
        <v>2.8406799999999999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BA149">
        <v>3119</v>
      </c>
      <c r="BB149" t="s">
        <v>343</v>
      </c>
      <c r="BC149">
        <v>908.7</v>
      </c>
      <c r="BD149">
        <v>886.4</v>
      </c>
    </row>
    <row r="150" spans="1:56" x14ac:dyDescent="0.25">
      <c r="A150">
        <v>3141</v>
      </c>
      <c r="B150" t="s">
        <v>344</v>
      </c>
      <c r="C150">
        <v>10.61064</v>
      </c>
      <c r="D150">
        <v>0.82103999999999999</v>
      </c>
      <c r="E150">
        <v>0.33</v>
      </c>
      <c r="F150">
        <v>1.34</v>
      </c>
      <c r="G150">
        <v>0</v>
      </c>
      <c r="H150">
        <v>0</v>
      </c>
      <c r="I150">
        <v>0.59831000000000001</v>
      </c>
      <c r="J150">
        <v>10.573740000000001</v>
      </c>
      <c r="K150">
        <v>0.80918000000000001</v>
      </c>
      <c r="L150">
        <v>0.33</v>
      </c>
      <c r="M150">
        <v>1.34</v>
      </c>
      <c r="N150">
        <v>0</v>
      </c>
      <c r="O150">
        <v>0</v>
      </c>
      <c r="P150">
        <v>0.63500000000000001</v>
      </c>
      <c r="Q150">
        <v>10.91245</v>
      </c>
      <c r="R150">
        <v>0.79352999999999996</v>
      </c>
      <c r="S150">
        <v>0.33</v>
      </c>
      <c r="T150">
        <v>1.34</v>
      </c>
      <c r="U150">
        <v>0</v>
      </c>
      <c r="V150">
        <v>0</v>
      </c>
      <c r="W150">
        <v>0.69728999999999997</v>
      </c>
      <c r="X150">
        <v>11.656129999999999</v>
      </c>
      <c r="Y150">
        <v>0.51541999999999999</v>
      </c>
      <c r="Z150">
        <v>0.33</v>
      </c>
      <c r="AA150">
        <v>1.34</v>
      </c>
      <c r="AB150">
        <v>0</v>
      </c>
      <c r="AC150">
        <v>0</v>
      </c>
      <c r="AD150">
        <v>0.749</v>
      </c>
      <c r="AF150">
        <v>0.05</v>
      </c>
      <c r="AG150">
        <v>5651099</v>
      </c>
      <c r="AH150">
        <v>0</v>
      </c>
      <c r="AI150">
        <v>0</v>
      </c>
      <c r="AJ150">
        <v>0</v>
      </c>
      <c r="AK150">
        <v>0</v>
      </c>
      <c r="AL150">
        <v>0.05</v>
      </c>
      <c r="AM150">
        <v>5568123</v>
      </c>
      <c r="AN150">
        <v>0</v>
      </c>
      <c r="AO150">
        <v>0</v>
      </c>
      <c r="AP150">
        <v>0</v>
      </c>
      <c r="AQ150">
        <v>0</v>
      </c>
      <c r="AR150">
        <v>0.05</v>
      </c>
      <c r="AS150">
        <v>5212812</v>
      </c>
      <c r="AT150">
        <v>0</v>
      </c>
      <c r="AU150">
        <v>0</v>
      </c>
      <c r="AV150">
        <v>0</v>
      </c>
      <c r="AW150">
        <v>0</v>
      </c>
      <c r="BA150">
        <v>3141</v>
      </c>
      <c r="BB150" t="s">
        <v>344</v>
      </c>
      <c r="BC150">
        <v>12774.4</v>
      </c>
      <c r="BD150">
        <v>13159.9</v>
      </c>
    </row>
    <row r="151" spans="1:56" x14ac:dyDescent="0.25">
      <c r="A151">
        <v>3150</v>
      </c>
      <c r="B151" t="s">
        <v>345</v>
      </c>
      <c r="C151">
        <v>11.922359999999999</v>
      </c>
      <c r="D151">
        <v>1.6277999999999999</v>
      </c>
      <c r="E151">
        <v>0.33</v>
      </c>
      <c r="F151">
        <v>0.67</v>
      </c>
      <c r="G151">
        <v>0</v>
      </c>
      <c r="H151">
        <v>0</v>
      </c>
      <c r="I151">
        <v>0</v>
      </c>
      <c r="J151">
        <v>12.13344</v>
      </c>
      <c r="K151">
        <v>1.27054</v>
      </c>
      <c r="L151">
        <v>0.33</v>
      </c>
      <c r="M151">
        <v>0.67</v>
      </c>
      <c r="N151">
        <v>0</v>
      </c>
      <c r="O151">
        <v>0</v>
      </c>
      <c r="P151">
        <v>0</v>
      </c>
      <c r="Q151">
        <v>12.481809999999999</v>
      </c>
      <c r="R151">
        <v>1.19015</v>
      </c>
      <c r="S151">
        <v>0.33</v>
      </c>
      <c r="T151">
        <v>0.67</v>
      </c>
      <c r="U151">
        <v>0</v>
      </c>
      <c r="V151">
        <v>0</v>
      </c>
      <c r="W151">
        <v>0</v>
      </c>
      <c r="X151">
        <v>12.415089999999999</v>
      </c>
      <c r="Y151">
        <v>1.1152200000000001</v>
      </c>
      <c r="Z151">
        <v>0.33</v>
      </c>
      <c r="AA151">
        <v>0</v>
      </c>
      <c r="AB151">
        <v>0</v>
      </c>
      <c r="AC151">
        <v>0</v>
      </c>
      <c r="AD151">
        <v>0.75417000000000001</v>
      </c>
      <c r="AF151">
        <v>0.08</v>
      </c>
      <c r="AG151">
        <v>447231</v>
      </c>
      <c r="AH151">
        <v>0</v>
      </c>
      <c r="AI151">
        <v>0</v>
      </c>
      <c r="AJ151">
        <v>0</v>
      </c>
      <c r="AK151">
        <v>0</v>
      </c>
      <c r="AL151">
        <v>0.08</v>
      </c>
      <c r="AM151">
        <v>431430</v>
      </c>
      <c r="AN151">
        <v>0</v>
      </c>
      <c r="AO151">
        <v>0</v>
      </c>
      <c r="AP151">
        <v>0</v>
      </c>
      <c r="AQ151">
        <v>0</v>
      </c>
      <c r="AR151">
        <v>0.08</v>
      </c>
      <c r="AS151">
        <v>413784</v>
      </c>
      <c r="AT151">
        <v>0</v>
      </c>
      <c r="AU151">
        <v>0</v>
      </c>
      <c r="AV151">
        <v>0</v>
      </c>
      <c r="AW151">
        <v>0</v>
      </c>
      <c r="BA151">
        <v>3150</v>
      </c>
      <c r="BB151" t="s">
        <v>345</v>
      </c>
      <c r="BC151">
        <v>1087</v>
      </c>
      <c r="BD151">
        <v>1087.5</v>
      </c>
    </row>
    <row r="152" spans="1:56" x14ac:dyDescent="0.25">
      <c r="A152">
        <v>3154</v>
      </c>
      <c r="B152" t="s">
        <v>346</v>
      </c>
      <c r="C152">
        <v>9.4843499999999992</v>
      </c>
      <c r="D152">
        <v>2.1675399999999998</v>
      </c>
      <c r="E152">
        <v>0.33</v>
      </c>
      <c r="F152">
        <v>0.12425</v>
      </c>
      <c r="G152">
        <v>0</v>
      </c>
      <c r="H152">
        <v>0</v>
      </c>
      <c r="I152">
        <v>1.3858999999999999</v>
      </c>
      <c r="J152">
        <v>10.6991</v>
      </c>
      <c r="K152">
        <v>1.7812600000000001</v>
      </c>
      <c r="L152">
        <v>0.33</v>
      </c>
      <c r="M152">
        <v>0.21859999999999999</v>
      </c>
      <c r="N152">
        <v>0</v>
      </c>
      <c r="O152">
        <v>0</v>
      </c>
      <c r="P152">
        <v>1.43075</v>
      </c>
      <c r="Q152">
        <v>11.92418</v>
      </c>
      <c r="R152">
        <v>1.8588800000000001</v>
      </c>
      <c r="S152">
        <v>0.33</v>
      </c>
      <c r="T152">
        <v>0.13463</v>
      </c>
      <c r="U152">
        <v>0</v>
      </c>
      <c r="V152">
        <v>0</v>
      </c>
      <c r="W152">
        <v>1.56969</v>
      </c>
      <c r="X152">
        <v>16.148440000000001</v>
      </c>
      <c r="Y152">
        <v>0.28255000000000002</v>
      </c>
      <c r="Z152">
        <v>0</v>
      </c>
      <c r="AA152">
        <v>0.16747999999999999</v>
      </c>
      <c r="AB152">
        <v>0</v>
      </c>
      <c r="AC152">
        <v>0</v>
      </c>
      <c r="AD152">
        <v>0.68357000000000001</v>
      </c>
      <c r="AF152">
        <v>0.08</v>
      </c>
      <c r="AG152">
        <v>209179</v>
      </c>
      <c r="AH152">
        <v>0</v>
      </c>
      <c r="AI152">
        <v>0</v>
      </c>
      <c r="AJ152">
        <v>0.06</v>
      </c>
      <c r="AK152">
        <v>156884</v>
      </c>
      <c r="AL152">
        <v>0.08</v>
      </c>
      <c r="AM152">
        <v>215670</v>
      </c>
      <c r="AN152">
        <v>0</v>
      </c>
      <c r="AO152">
        <v>0</v>
      </c>
      <c r="AP152">
        <v>0.06</v>
      </c>
      <c r="AQ152">
        <v>161753</v>
      </c>
      <c r="AR152">
        <v>0.09</v>
      </c>
      <c r="AS152">
        <v>226825</v>
      </c>
      <c r="AT152">
        <v>0</v>
      </c>
      <c r="AU152">
        <v>0</v>
      </c>
      <c r="AV152">
        <v>0.06</v>
      </c>
      <c r="AW152">
        <v>151217</v>
      </c>
      <c r="BA152">
        <v>3154</v>
      </c>
      <c r="BB152" t="s">
        <v>346</v>
      </c>
      <c r="BC152">
        <v>560.6</v>
      </c>
      <c r="BD152">
        <v>557.6</v>
      </c>
    </row>
    <row r="153" spans="1:56" x14ac:dyDescent="0.25">
      <c r="A153">
        <v>3168</v>
      </c>
      <c r="B153" t="s">
        <v>607</v>
      </c>
      <c r="C153">
        <v>8.9784000000000006</v>
      </c>
      <c r="D153">
        <v>1.10172</v>
      </c>
      <c r="E153">
        <v>0.33</v>
      </c>
      <c r="F153">
        <v>0</v>
      </c>
      <c r="G153">
        <v>0</v>
      </c>
      <c r="H153">
        <v>0</v>
      </c>
      <c r="I153">
        <v>0</v>
      </c>
      <c r="J153">
        <v>9.9809900000000003</v>
      </c>
      <c r="K153">
        <v>0.71023999999999998</v>
      </c>
      <c r="L153">
        <v>0.33</v>
      </c>
      <c r="M153">
        <v>0</v>
      </c>
      <c r="N153">
        <v>0</v>
      </c>
      <c r="O153">
        <v>0</v>
      </c>
      <c r="P153">
        <v>1.09771</v>
      </c>
      <c r="Q153">
        <v>11.66785</v>
      </c>
      <c r="R153">
        <v>0.66261000000000003</v>
      </c>
      <c r="S153">
        <v>0.33</v>
      </c>
      <c r="T153">
        <v>0</v>
      </c>
      <c r="U153">
        <v>0</v>
      </c>
      <c r="V153">
        <v>0</v>
      </c>
      <c r="W153">
        <v>0</v>
      </c>
      <c r="X153">
        <v>11.884499999999999</v>
      </c>
      <c r="Y153">
        <v>0.72660999999999998</v>
      </c>
      <c r="Z153">
        <v>0.33</v>
      </c>
      <c r="AA153">
        <v>0</v>
      </c>
      <c r="AB153">
        <v>0</v>
      </c>
      <c r="AC153">
        <v>0</v>
      </c>
      <c r="AD153">
        <v>0</v>
      </c>
      <c r="AF153">
        <v>0.1</v>
      </c>
      <c r="AG153">
        <v>363093</v>
      </c>
      <c r="AH153">
        <v>0</v>
      </c>
      <c r="AI153">
        <v>0</v>
      </c>
      <c r="AJ153">
        <v>0</v>
      </c>
      <c r="AK153">
        <v>0</v>
      </c>
      <c r="AL153">
        <v>0.12</v>
      </c>
      <c r="AM153">
        <v>368267</v>
      </c>
      <c r="AN153">
        <v>0</v>
      </c>
      <c r="AO153">
        <v>0</v>
      </c>
      <c r="AP153">
        <v>0</v>
      </c>
      <c r="AQ153">
        <v>0</v>
      </c>
      <c r="AR153">
        <v>0.13</v>
      </c>
      <c r="AS153">
        <v>385688</v>
      </c>
      <c r="AT153">
        <v>0</v>
      </c>
      <c r="AU153">
        <v>0</v>
      </c>
      <c r="AV153">
        <v>0</v>
      </c>
      <c r="AW153">
        <v>0</v>
      </c>
      <c r="BA153">
        <v>3186</v>
      </c>
      <c r="BB153" t="s">
        <v>347</v>
      </c>
      <c r="BC153">
        <v>358.5</v>
      </c>
      <c r="BD153">
        <v>374.8</v>
      </c>
    </row>
    <row r="154" spans="1:56" x14ac:dyDescent="0.25">
      <c r="A154">
        <v>3186</v>
      </c>
      <c r="B154" t="s">
        <v>347</v>
      </c>
      <c r="C154">
        <v>8.8817199999999996</v>
      </c>
      <c r="D154">
        <v>1.5129300000000001</v>
      </c>
      <c r="E154">
        <v>0.33</v>
      </c>
      <c r="F154">
        <v>1.34</v>
      </c>
      <c r="G154">
        <v>0</v>
      </c>
      <c r="H154">
        <v>0</v>
      </c>
      <c r="I154">
        <v>0</v>
      </c>
      <c r="J154">
        <v>9.7950700000000008</v>
      </c>
      <c r="K154">
        <v>1.0708</v>
      </c>
      <c r="L154">
        <v>0.33</v>
      </c>
      <c r="M154">
        <v>1.34</v>
      </c>
      <c r="N154">
        <v>0</v>
      </c>
      <c r="O154">
        <v>0</v>
      </c>
      <c r="P154">
        <v>0</v>
      </c>
      <c r="Q154">
        <v>10.49043</v>
      </c>
      <c r="R154">
        <v>0.86724000000000001</v>
      </c>
      <c r="S154">
        <v>0.33</v>
      </c>
      <c r="T154">
        <v>1.34</v>
      </c>
      <c r="U154">
        <v>0</v>
      </c>
      <c r="V154">
        <v>0</v>
      </c>
      <c r="W154">
        <v>0</v>
      </c>
      <c r="X154">
        <v>10.18459</v>
      </c>
      <c r="Y154">
        <v>1.14429</v>
      </c>
      <c r="Z154">
        <v>0.33</v>
      </c>
      <c r="AA154">
        <v>0.67</v>
      </c>
      <c r="AB154">
        <v>0</v>
      </c>
      <c r="AC154">
        <v>0</v>
      </c>
      <c r="AD154">
        <v>0</v>
      </c>
      <c r="AF154">
        <v>0.08</v>
      </c>
      <c r="AG154">
        <v>165756</v>
      </c>
      <c r="AH154">
        <v>0</v>
      </c>
      <c r="AI154">
        <v>0</v>
      </c>
      <c r="AJ154">
        <v>0</v>
      </c>
      <c r="AK154">
        <v>0</v>
      </c>
      <c r="AL154">
        <v>0.08</v>
      </c>
      <c r="AM154">
        <v>159837</v>
      </c>
      <c r="AN154">
        <v>0</v>
      </c>
      <c r="AO154">
        <v>0</v>
      </c>
      <c r="AP154">
        <v>0</v>
      </c>
      <c r="AQ154">
        <v>0</v>
      </c>
      <c r="AR154">
        <v>0.08</v>
      </c>
      <c r="AS154">
        <v>164810</v>
      </c>
      <c r="AT154">
        <v>0</v>
      </c>
      <c r="AU154">
        <v>0</v>
      </c>
      <c r="AV154">
        <v>0</v>
      </c>
      <c r="AW154">
        <v>0</v>
      </c>
      <c r="BA154">
        <v>3204</v>
      </c>
      <c r="BB154" t="s">
        <v>348</v>
      </c>
      <c r="BC154">
        <v>901.4</v>
      </c>
      <c r="BD154">
        <v>881.6</v>
      </c>
    </row>
    <row r="155" spans="1:56" x14ac:dyDescent="0.25">
      <c r="A155">
        <v>3195</v>
      </c>
      <c r="B155" t="s">
        <v>608</v>
      </c>
      <c r="C155">
        <v>10.95364</v>
      </c>
      <c r="D155">
        <v>1.07758</v>
      </c>
      <c r="E155">
        <v>0.33</v>
      </c>
      <c r="F155">
        <v>0.48746</v>
      </c>
      <c r="G155">
        <v>0</v>
      </c>
      <c r="H155">
        <v>0</v>
      </c>
      <c r="I155">
        <v>0</v>
      </c>
      <c r="J155">
        <v>12.29299</v>
      </c>
      <c r="K155">
        <v>0.80510999999999999</v>
      </c>
      <c r="L155">
        <v>0.33</v>
      </c>
      <c r="M155">
        <v>0</v>
      </c>
      <c r="N155">
        <v>0</v>
      </c>
      <c r="O155">
        <v>0</v>
      </c>
      <c r="P155">
        <v>0</v>
      </c>
      <c r="Q155">
        <v>13.256</v>
      </c>
      <c r="R155">
        <v>1.31765</v>
      </c>
      <c r="S155">
        <v>0.33</v>
      </c>
      <c r="T155">
        <v>0</v>
      </c>
      <c r="U155">
        <v>0</v>
      </c>
      <c r="V155">
        <v>0</v>
      </c>
      <c r="W155">
        <v>0</v>
      </c>
      <c r="X155">
        <v>13.55466</v>
      </c>
      <c r="Y155">
        <v>1.64479</v>
      </c>
      <c r="Z155">
        <v>0.33</v>
      </c>
      <c r="AA155">
        <v>0</v>
      </c>
      <c r="AB155">
        <v>0</v>
      </c>
      <c r="AC155">
        <v>0</v>
      </c>
      <c r="AD155">
        <v>0</v>
      </c>
      <c r="AF155">
        <v>7.0000000000000007E-2</v>
      </c>
      <c r="AG155">
        <v>333518</v>
      </c>
      <c r="AH155">
        <v>0</v>
      </c>
      <c r="AI155">
        <v>0</v>
      </c>
      <c r="AJ155">
        <v>0</v>
      </c>
      <c r="AK155">
        <v>0</v>
      </c>
      <c r="AL155">
        <v>7.0000000000000007E-2</v>
      </c>
      <c r="AM155">
        <v>320174</v>
      </c>
      <c r="AN155">
        <v>0</v>
      </c>
      <c r="AO155">
        <v>0</v>
      </c>
      <c r="AP155">
        <v>0</v>
      </c>
      <c r="AQ155">
        <v>0</v>
      </c>
      <c r="AR155">
        <v>7.0000000000000007E-2</v>
      </c>
      <c r="AS155">
        <v>314230</v>
      </c>
      <c r="AT155">
        <v>0</v>
      </c>
      <c r="AU155">
        <v>0</v>
      </c>
      <c r="AV155">
        <v>0</v>
      </c>
      <c r="AW155">
        <v>0</v>
      </c>
      <c r="BA155">
        <v>3231</v>
      </c>
      <c r="BB155" t="s">
        <v>349</v>
      </c>
      <c r="BC155">
        <v>6269</v>
      </c>
      <c r="BD155">
        <v>6409</v>
      </c>
    </row>
    <row r="156" spans="1:56" x14ac:dyDescent="0.25">
      <c r="A156">
        <v>3204</v>
      </c>
      <c r="B156" t="s">
        <v>348</v>
      </c>
      <c r="C156">
        <v>10.664680000000001</v>
      </c>
      <c r="D156">
        <v>0.62770000000000004</v>
      </c>
      <c r="E156">
        <v>0.33</v>
      </c>
      <c r="F156">
        <v>0</v>
      </c>
      <c r="G156">
        <v>0</v>
      </c>
      <c r="H156">
        <v>0</v>
      </c>
      <c r="I156">
        <v>1.3032300000000001</v>
      </c>
      <c r="J156">
        <v>10.44542</v>
      </c>
      <c r="K156">
        <v>0.64888000000000001</v>
      </c>
      <c r="L156">
        <v>0.33</v>
      </c>
      <c r="M156">
        <v>0</v>
      </c>
      <c r="N156">
        <v>0</v>
      </c>
      <c r="O156">
        <v>0</v>
      </c>
      <c r="P156">
        <v>1.4969300000000001</v>
      </c>
      <c r="Q156">
        <v>10.411569999999999</v>
      </c>
      <c r="R156">
        <v>0.60062000000000004</v>
      </c>
      <c r="S156">
        <v>0.33</v>
      </c>
      <c r="T156">
        <v>0</v>
      </c>
      <c r="U156">
        <v>0</v>
      </c>
      <c r="V156">
        <v>0</v>
      </c>
      <c r="W156">
        <v>1.5951500000000001</v>
      </c>
      <c r="X156">
        <v>11.31701</v>
      </c>
      <c r="Y156">
        <v>0.49804999999999999</v>
      </c>
      <c r="Z156">
        <v>0.33</v>
      </c>
      <c r="AA156">
        <v>0</v>
      </c>
      <c r="AB156">
        <v>0</v>
      </c>
      <c r="AC156">
        <v>0</v>
      </c>
      <c r="AD156">
        <v>0.79923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BA156">
        <v>3312</v>
      </c>
      <c r="BB156" t="s">
        <v>350</v>
      </c>
      <c r="BC156">
        <v>1996.9</v>
      </c>
      <c r="BD156">
        <v>1969.4</v>
      </c>
    </row>
    <row r="157" spans="1:56" x14ac:dyDescent="0.25">
      <c r="A157">
        <v>3231</v>
      </c>
      <c r="B157" t="s">
        <v>349</v>
      </c>
      <c r="C157">
        <v>13.66094</v>
      </c>
      <c r="D157">
        <v>0.35193000000000002</v>
      </c>
      <c r="E157">
        <v>0.33</v>
      </c>
      <c r="F157">
        <v>1.34</v>
      </c>
      <c r="G157">
        <v>0</v>
      </c>
      <c r="H157">
        <v>0</v>
      </c>
      <c r="I157">
        <v>2.6773899999999999</v>
      </c>
      <c r="J157">
        <v>13.410030000000001</v>
      </c>
      <c r="K157">
        <v>0.35560000000000003</v>
      </c>
      <c r="L157">
        <v>0.33</v>
      </c>
      <c r="M157">
        <v>1.34</v>
      </c>
      <c r="N157">
        <v>0</v>
      </c>
      <c r="O157">
        <v>0</v>
      </c>
      <c r="P157">
        <v>1.9188099999999999</v>
      </c>
      <c r="Q157">
        <v>13.325480000000001</v>
      </c>
      <c r="R157">
        <v>0.44978000000000001</v>
      </c>
      <c r="S157">
        <v>0.33</v>
      </c>
      <c r="T157">
        <v>1.34</v>
      </c>
      <c r="U157">
        <v>0</v>
      </c>
      <c r="V157">
        <v>0</v>
      </c>
      <c r="W157">
        <v>1.90482</v>
      </c>
      <c r="X157">
        <v>13.902749999999999</v>
      </c>
      <c r="Y157">
        <v>0.54461999999999999</v>
      </c>
      <c r="Z157">
        <v>0.33</v>
      </c>
      <c r="AA157">
        <v>1.34</v>
      </c>
      <c r="AB157">
        <v>0</v>
      </c>
      <c r="AC157">
        <v>0</v>
      </c>
      <c r="AD157">
        <v>1.22862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BA157">
        <v>3330</v>
      </c>
      <c r="BB157" t="s">
        <v>351</v>
      </c>
      <c r="BC157">
        <v>341.8</v>
      </c>
      <c r="BD157">
        <v>345.8</v>
      </c>
    </row>
    <row r="158" spans="1:56" x14ac:dyDescent="0.25">
      <c r="A158">
        <v>3312</v>
      </c>
      <c r="B158" t="s">
        <v>350</v>
      </c>
      <c r="C158">
        <v>15.317600000000001</v>
      </c>
      <c r="D158">
        <v>1.7886500000000001</v>
      </c>
      <c r="E158">
        <v>0.33</v>
      </c>
      <c r="F158">
        <v>0</v>
      </c>
      <c r="G158">
        <v>0</v>
      </c>
      <c r="H158">
        <v>0</v>
      </c>
      <c r="I158">
        <v>1.48536</v>
      </c>
      <c r="J158">
        <v>14.82043</v>
      </c>
      <c r="K158">
        <v>1.80427</v>
      </c>
      <c r="L158">
        <v>0.33</v>
      </c>
      <c r="M158">
        <v>0</v>
      </c>
      <c r="N158">
        <v>0</v>
      </c>
      <c r="O158">
        <v>0</v>
      </c>
      <c r="P158">
        <v>1.4977799999999999</v>
      </c>
      <c r="Q158">
        <v>14.79027</v>
      </c>
      <c r="R158">
        <v>1.95499</v>
      </c>
      <c r="S158">
        <v>0.33</v>
      </c>
      <c r="T158">
        <v>0</v>
      </c>
      <c r="U158">
        <v>0</v>
      </c>
      <c r="V158">
        <v>0</v>
      </c>
      <c r="W158">
        <v>1.5023500000000001</v>
      </c>
      <c r="X158">
        <v>15.48307</v>
      </c>
      <c r="Y158">
        <v>2.3654500000000001</v>
      </c>
      <c r="Z158">
        <v>0.33</v>
      </c>
      <c r="AA158">
        <v>0</v>
      </c>
      <c r="AB158">
        <v>0</v>
      </c>
      <c r="AC158">
        <v>0</v>
      </c>
      <c r="AD158">
        <v>1.05358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BA158">
        <v>3348</v>
      </c>
      <c r="BB158" t="s">
        <v>352</v>
      </c>
      <c r="BC158">
        <v>461.3</v>
      </c>
      <c r="BD158">
        <v>456</v>
      </c>
    </row>
    <row r="159" spans="1:56" x14ac:dyDescent="0.25">
      <c r="A159">
        <v>3330</v>
      </c>
      <c r="B159" t="s">
        <v>351</v>
      </c>
      <c r="C159">
        <v>9.2510300000000001</v>
      </c>
      <c r="D159">
        <v>0.51417000000000002</v>
      </c>
      <c r="E159">
        <v>0.33</v>
      </c>
      <c r="F159">
        <v>0</v>
      </c>
      <c r="G159">
        <v>0</v>
      </c>
      <c r="H159">
        <v>0</v>
      </c>
      <c r="I159">
        <v>1.81531</v>
      </c>
      <c r="J159">
        <v>8.9941999999999993</v>
      </c>
      <c r="K159">
        <v>0.51505000000000001</v>
      </c>
      <c r="L159">
        <v>0.33</v>
      </c>
      <c r="M159">
        <v>0</v>
      </c>
      <c r="N159">
        <v>0</v>
      </c>
      <c r="O159">
        <v>0</v>
      </c>
      <c r="P159">
        <v>1.84612</v>
      </c>
      <c r="Q159">
        <v>10.27078</v>
      </c>
      <c r="R159">
        <v>0.79571999999999998</v>
      </c>
      <c r="S159">
        <v>0.33</v>
      </c>
      <c r="T159">
        <v>0</v>
      </c>
      <c r="U159">
        <v>0</v>
      </c>
      <c r="V159">
        <v>0</v>
      </c>
      <c r="W159">
        <v>1.8569599999999999</v>
      </c>
      <c r="X159">
        <v>11.36186</v>
      </c>
      <c r="Y159">
        <v>0.30410999999999999</v>
      </c>
      <c r="Z159">
        <v>0.33</v>
      </c>
      <c r="AA159">
        <v>0</v>
      </c>
      <c r="AB159">
        <v>0</v>
      </c>
      <c r="AC159">
        <v>0</v>
      </c>
      <c r="AD159">
        <v>1.8359300000000001</v>
      </c>
      <c r="AF159">
        <v>0.01</v>
      </c>
      <c r="AG159">
        <v>16961</v>
      </c>
      <c r="AH159">
        <v>0</v>
      </c>
      <c r="AI159">
        <v>0</v>
      </c>
      <c r="AJ159">
        <v>0</v>
      </c>
      <c r="AK159">
        <v>0</v>
      </c>
      <c r="AL159">
        <v>0.1</v>
      </c>
      <c r="AM159">
        <v>154947</v>
      </c>
      <c r="AN159">
        <v>0</v>
      </c>
      <c r="AO159">
        <v>0</v>
      </c>
      <c r="AP159">
        <v>0</v>
      </c>
      <c r="AQ159">
        <v>0</v>
      </c>
      <c r="AR159">
        <v>0.1</v>
      </c>
      <c r="AS159">
        <v>161367</v>
      </c>
      <c r="AT159">
        <v>0</v>
      </c>
      <c r="AU159">
        <v>0</v>
      </c>
      <c r="AV159">
        <v>0</v>
      </c>
      <c r="AW159">
        <v>0</v>
      </c>
      <c r="BA159">
        <v>3375</v>
      </c>
      <c r="BB159" t="s">
        <v>353</v>
      </c>
      <c r="BC159">
        <v>1818.9</v>
      </c>
      <c r="BD159">
        <v>1797.2</v>
      </c>
    </row>
    <row r="160" spans="1:56" x14ac:dyDescent="0.25">
      <c r="A160">
        <v>3348</v>
      </c>
      <c r="B160" t="s">
        <v>352</v>
      </c>
      <c r="C160">
        <v>11.331720000000001</v>
      </c>
      <c r="D160">
        <v>0.90873000000000004</v>
      </c>
      <c r="E160">
        <v>0.33</v>
      </c>
      <c r="F160">
        <v>0.14488000000000001</v>
      </c>
      <c r="G160">
        <v>0</v>
      </c>
      <c r="H160">
        <v>0</v>
      </c>
      <c r="I160">
        <v>1.71976</v>
      </c>
      <c r="J160">
        <v>12.12879</v>
      </c>
      <c r="K160">
        <v>0.54781999999999997</v>
      </c>
      <c r="L160">
        <v>0</v>
      </c>
      <c r="M160">
        <v>0.22095000000000001</v>
      </c>
      <c r="N160">
        <v>0</v>
      </c>
      <c r="O160">
        <v>0</v>
      </c>
      <c r="P160">
        <v>1.81036</v>
      </c>
      <c r="Q160">
        <v>12.82971</v>
      </c>
      <c r="R160">
        <v>0.97663999999999995</v>
      </c>
      <c r="S160">
        <v>0</v>
      </c>
      <c r="T160">
        <v>0.19958999999999999</v>
      </c>
      <c r="U160">
        <v>0</v>
      </c>
      <c r="V160">
        <v>0</v>
      </c>
      <c r="W160">
        <v>1.23838</v>
      </c>
      <c r="X160">
        <v>13.81813</v>
      </c>
      <c r="Y160">
        <v>0.54627999999999999</v>
      </c>
      <c r="Z160">
        <v>0</v>
      </c>
      <c r="AA160">
        <v>0.18293999999999999</v>
      </c>
      <c r="AB160">
        <v>0</v>
      </c>
      <c r="AC160">
        <v>0</v>
      </c>
      <c r="AD160">
        <v>1.3255399999999999</v>
      </c>
      <c r="AF160">
        <v>0.01</v>
      </c>
      <c r="AG160">
        <v>23450</v>
      </c>
      <c r="AH160">
        <v>0</v>
      </c>
      <c r="AI160">
        <v>0</v>
      </c>
      <c r="AJ160">
        <v>0.03</v>
      </c>
      <c r="AK160">
        <v>70351</v>
      </c>
      <c r="AL160">
        <v>0.01</v>
      </c>
      <c r="AM160">
        <v>23488</v>
      </c>
      <c r="AN160">
        <v>0</v>
      </c>
      <c r="AO160">
        <v>0</v>
      </c>
      <c r="AP160">
        <v>0.03</v>
      </c>
      <c r="AQ160">
        <v>70465</v>
      </c>
      <c r="AR160">
        <v>0.01</v>
      </c>
      <c r="AS160">
        <v>22511</v>
      </c>
      <c r="AT160">
        <v>0</v>
      </c>
      <c r="AU160">
        <v>0</v>
      </c>
      <c r="AV160">
        <v>0.03</v>
      </c>
      <c r="AW160">
        <v>67533</v>
      </c>
      <c r="BA160">
        <v>3420</v>
      </c>
      <c r="BB160" t="s">
        <v>354</v>
      </c>
      <c r="BC160">
        <v>591.79999999999995</v>
      </c>
      <c r="BD160">
        <v>609.79999999999995</v>
      </c>
    </row>
    <row r="161" spans="1:56" x14ac:dyDescent="0.25">
      <c r="A161">
        <v>3375</v>
      </c>
      <c r="B161" t="s">
        <v>353</v>
      </c>
      <c r="C161">
        <v>11.86459</v>
      </c>
      <c r="D161">
        <v>2.2634300000000001</v>
      </c>
      <c r="E161">
        <v>0.33</v>
      </c>
      <c r="F161">
        <v>0.67</v>
      </c>
      <c r="G161">
        <v>0</v>
      </c>
      <c r="H161">
        <v>0</v>
      </c>
      <c r="I161">
        <v>0</v>
      </c>
      <c r="J161">
        <v>12.58262</v>
      </c>
      <c r="K161">
        <v>1.3665799999999999</v>
      </c>
      <c r="L161">
        <v>0.33</v>
      </c>
      <c r="M161">
        <v>0.67</v>
      </c>
      <c r="N161">
        <v>0</v>
      </c>
      <c r="O161">
        <v>0</v>
      </c>
      <c r="P161">
        <v>0</v>
      </c>
      <c r="Q161">
        <v>12.1046</v>
      </c>
      <c r="R161">
        <v>1.46929</v>
      </c>
      <c r="S161">
        <v>0.33</v>
      </c>
      <c r="T161">
        <v>0.67</v>
      </c>
      <c r="U161">
        <v>0</v>
      </c>
      <c r="V161">
        <v>0</v>
      </c>
      <c r="W161">
        <v>2.16866</v>
      </c>
      <c r="X161">
        <v>13.278689999999999</v>
      </c>
      <c r="Y161">
        <v>1.29864</v>
      </c>
      <c r="Z161">
        <v>0.33</v>
      </c>
      <c r="AA161">
        <v>0.67</v>
      </c>
      <c r="AB161">
        <v>0</v>
      </c>
      <c r="AC161">
        <v>0</v>
      </c>
      <c r="AD161">
        <v>2.2196899999999999</v>
      </c>
      <c r="AF161">
        <v>0.06</v>
      </c>
      <c r="AG161">
        <v>473928</v>
      </c>
      <c r="AH161">
        <v>0</v>
      </c>
      <c r="AI161">
        <v>0</v>
      </c>
      <c r="AJ161">
        <v>0</v>
      </c>
      <c r="AK161">
        <v>0</v>
      </c>
      <c r="AL161">
        <v>0.06</v>
      </c>
      <c r="AM161">
        <v>462917</v>
      </c>
      <c r="AN161">
        <v>0</v>
      </c>
      <c r="AO161">
        <v>0</v>
      </c>
      <c r="AP161">
        <v>0</v>
      </c>
      <c r="AQ161">
        <v>0</v>
      </c>
      <c r="AR161">
        <v>0.06</v>
      </c>
      <c r="AS161">
        <v>466363</v>
      </c>
      <c r="AT161">
        <v>0</v>
      </c>
      <c r="AU161">
        <v>0</v>
      </c>
      <c r="AV161">
        <v>0</v>
      </c>
      <c r="AW161">
        <v>0</v>
      </c>
      <c r="BA161">
        <v>3465</v>
      </c>
      <c r="BB161" t="s">
        <v>355</v>
      </c>
      <c r="BC161">
        <v>309.89999999999998</v>
      </c>
      <c r="BD161">
        <v>322.60000000000002</v>
      </c>
    </row>
    <row r="162" spans="1:56" x14ac:dyDescent="0.25">
      <c r="A162">
        <v>3420</v>
      </c>
      <c r="B162" t="s">
        <v>354</v>
      </c>
      <c r="C162">
        <v>8.7631300000000003</v>
      </c>
      <c r="D162">
        <v>0.90402000000000005</v>
      </c>
      <c r="E162">
        <v>0.33</v>
      </c>
      <c r="F162">
        <v>0.10936</v>
      </c>
      <c r="G162">
        <v>0</v>
      </c>
      <c r="H162">
        <v>0</v>
      </c>
      <c r="I162">
        <v>2.3674300000000001</v>
      </c>
      <c r="J162">
        <v>8.5684299999999993</v>
      </c>
      <c r="K162">
        <v>0.84960000000000002</v>
      </c>
      <c r="L162">
        <v>0.33</v>
      </c>
      <c r="M162">
        <v>5.5070000000000001E-2</v>
      </c>
      <c r="N162">
        <v>0</v>
      </c>
      <c r="O162">
        <v>0</v>
      </c>
      <c r="P162">
        <v>2.69964</v>
      </c>
      <c r="Q162">
        <v>9.29312</v>
      </c>
      <c r="R162">
        <v>0.76565000000000005</v>
      </c>
      <c r="S162">
        <v>0.33</v>
      </c>
      <c r="T162">
        <v>0.10148</v>
      </c>
      <c r="U162">
        <v>0</v>
      </c>
      <c r="V162">
        <v>0</v>
      </c>
      <c r="W162">
        <v>2.7</v>
      </c>
      <c r="X162">
        <v>12.19523</v>
      </c>
      <c r="Y162">
        <v>0.79815999999999998</v>
      </c>
      <c r="Z162">
        <v>0.33</v>
      </c>
      <c r="AA162">
        <v>8.0589999999999995E-2</v>
      </c>
      <c r="AB162">
        <v>0</v>
      </c>
      <c r="AC162">
        <v>0</v>
      </c>
      <c r="AD162">
        <v>1.28159</v>
      </c>
      <c r="AF162">
        <v>0.05</v>
      </c>
      <c r="AG162">
        <v>162059</v>
      </c>
      <c r="AH162">
        <v>0</v>
      </c>
      <c r="AI162">
        <v>0</v>
      </c>
      <c r="AJ162">
        <v>0.05</v>
      </c>
      <c r="AK162">
        <v>162059</v>
      </c>
      <c r="AL162">
        <v>0.05</v>
      </c>
      <c r="AM162">
        <v>144577</v>
      </c>
      <c r="AN162">
        <v>0</v>
      </c>
      <c r="AO162">
        <v>0</v>
      </c>
      <c r="AP162">
        <v>0.05</v>
      </c>
      <c r="AQ162">
        <v>144577</v>
      </c>
      <c r="AR162">
        <v>0.05</v>
      </c>
      <c r="AS162">
        <v>145687</v>
      </c>
      <c r="AT162">
        <v>0</v>
      </c>
      <c r="AU162">
        <v>0</v>
      </c>
      <c r="AV162">
        <v>0.05</v>
      </c>
      <c r="AW162">
        <v>145687</v>
      </c>
      <c r="BA162">
        <v>3537</v>
      </c>
      <c r="BB162" t="s">
        <v>356</v>
      </c>
      <c r="BC162">
        <v>321</v>
      </c>
      <c r="BD162">
        <v>313.10000000000002</v>
      </c>
    </row>
    <row r="163" spans="1:56" x14ac:dyDescent="0.25">
      <c r="A163">
        <v>3465</v>
      </c>
      <c r="B163" t="s">
        <v>355</v>
      </c>
      <c r="C163">
        <v>11.25534</v>
      </c>
      <c r="D163">
        <v>1.0708</v>
      </c>
      <c r="E163">
        <v>0.33</v>
      </c>
      <c r="F163">
        <v>1.0405800000000001</v>
      </c>
      <c r="G163">
        <v>0</v>
      </c>
      <c r="H163">
        <v>0</v>
      </c>
      <c r="I163">
        <v>4.0464000000000002</v>
      </c>
      <c r="J163">
        <v>12.21997</v>
      </c>
      <c r="K163">
        <v>0.99368999999999996</v>
      </c>
      <c r="L163">
        <v>0.33</v>
      </c>
      <c r="M163">
        <v>1.1009599999999999</v>
      </c>
      <c r="N163">
        <v>0</v>
      </c>
      <c r="O163">
        <v>0</v>
      </c>
      <c r="P163">
        <v>3.1541600000000001</v>
      </c>
      <c r="Q163">
        <v>11.81531</v>
      </c>
      <c r="R163">
        <v>1.0286900000000001</v>
      </c>
      <c r="S163">
        <v>0.33</v>
      </c>
      <c r="T163">
        <v>1.0904799999999999</v>
      </c>
      <c r="U163">
        <v>0</v>
      </c>
      <c r="V163">
        <v>0</v>
      </c>
      <c r="W163">
        <v>3.2121200000000001</v>
      </c>
      <c r="X163">
        <v>13.22357</v>
      </c>
      <c r="Y163">
        <v>0.9647</v>
      </c>
      <c r="Z163">
        <v>0.33</v>
      </c>
      <c r="AA163">
        <v>1.1023799999999999</v>
      </c>
      <c r="AB163">
        <v>0</v>
      </c>
      <c r="AC163">
        <v>0</v>
      </c>
      <c r="AD163">
        <v>3.02854</v>
      </c>
      <c r="AF163">
        <v>0.1</v>
      </c>
      <c r="AG163">
        <v>90904</v>
      </c>
      <c r="AH163">
        <v>0</v>
      </c>
      <c r="AI163">
        <v>0</v>
      </c>
      <c r="AJ163">
        <v>0.02</v>
      </c>
      <c r="AK163">
        <v>18181</v>
      </c>
      <c r="AL163">
        <v>0.01</v>
      </c>
      <c r="AM163">
        <v>9169</v>
      </c>
      <c r="AN163">
        <v>0</v>
      </c>
      <c r="AO163">
        <v>0</v>
      </c>
      <c r="AP163">
        <v>0.02</v>
      </c>
      <c r="AQ163">
        <v>18338</v>
      </c>
      <c r="AR163">
        <v>0.1</v>
      </c>
      <c r="AS163">
        <v>93012</v>
      </c>
      <c r="AT163">
        <v>0</v>
      </c>
      <c r="AU163">
        <v>0</v>
      </c>
      <c r="AV163">
        <v>0.02</v>
      </c>
      <c r="AW163">
        <v>18602</v>
      </c>
      <c r="BA163">
        <v>3555</v>
      </c>
      <c r="BB163" t="s">
        <v>357</v>
      </c>
      <c r="BC163">
        <v>625</v>
      </c>
      <c r="BD163">
        <v>607</v>
      </c>
    </row>
    <row r="164" spans="1:56" x14ac:dyDescent="0.25">
      <c r="A164">
        <v>3537</v>
      </c>
      <c r="B164" t="s">
        <v>356</v>
      </c>
      <c r="C164">
        <v>9.2654700000000005</v>
      </c>
      <c r="D164">
        <v>0.97638000000000003</v>
      </c>
      <c r="E164">
        <v>0.33</v>
      </c>
      <c r="F164">
        <v>0.86889000000000005</v>
      </c>
      <c r="G164">
        <v>0.13499</v>
      </c>
      <c r="H164">
        <v>0</v>
      </c>
      <c r="I164">
        <v>0</v>
      </c>
      <c r="J164">
        <v>9.39</v>
      </c>
      <c r="K164">
        <v>2.3395000000000001</v>
      </c>
      <c r="L164">
        <v>0.33</v>
      </c>
      <c r="M164">
        <v>0.89785000000000004</v>
      </c>
      <c r="N164">
        <v>0</v>
      </c>
      <c r="O164">
        <v>0</v>
      </c>
      <c r="P164">
        <v>0</v>
      </c>
      <c r="Q164">
        <v>12.30855</v>
      </c>
      <c r="R164">
        <v>2.4279299999999999</v>
      </c>
      <c r="S164">
        <v>0.33</v>
      </c>
      <c r="T164">
        <v>0.92500000000000004</v>
      </c>
      <c r="U164">
        <v>0</v>
      </c>
      <c r="V164">
        <v>0</v>
      </c>
      <c r="W164">
        <v>0</v>
      </c>
      <c r="X164">
        <v>13.720800000000001</v>
      </c>
      <c r="Y164">
        <v>1.099</v>
      </c>
      <c r="Z164">
        <v>0.33</v>
      </c>
      <c r="AA164">
        <v>0.93715999999999999</v>
      </c>
      <c r="AB164">
        <v>0</v>
      </c>
      <c r="AC164">
        <v>0</v>
      </c>
      <c r="AD164">
        <v>1.1544399999999999</v>
      </c>
      <c r="AF164">
        <v>0.04</v>
      </c>
      <c r="AG164">
        <v>67514</v>
      </c>
      <c r="AH164">
        <v>0</v>
      </c>
      <c r="AI164">
        <v>0</v>
      </c>
      <c r="AJ164">
        <v>0.04</v>
      </c>
      <c r="AK164">
        <v>67514</v>
      </c>
      <c r="AL164">
        <v>0.04</v>
      </c>
      <c r="AM164">
        <v>60905</v>
      </c>
      <c r="AN164">
        <v>0</v>
      </c>
      <c r="AO164">
        <v>0</v>
      </c>
      <c r="AP164">
        <v>0.04</v>
      </c>
      <c r="AQ164">
        <v>60905</v>
      </c>
      <c r="AR164">
        <v>0.04</v>
      </c>
      <c r="AS164">
        <v>55969</v>
      </c>
      <c r="AT164">
        <v>0</v>
      </c>
      <c r="AU164">
        <v>0</v>
      </c>
      <c r="AV164">
        <v>0.04</v>
      </c>
      <c r="AW164">
        <v>55969</v>
      </c>
      <c r="BA164">
        <v>3600</v>
      </c>
      <c r="BB164" t="s">
        <v>358</v>
      </c>
      <c r="BC164">
        <v>2093</v>
      </c>
      <c r="BD164">
        <v>2087.6</v>
      </c>
    </row>
    <row r="165" spans="1:56" x14ac:dyDescent="0.25">
      <c r="A165">
        <v>3555</v>
      </c>
      <c r="B165" t="s">
        <v>357</v>
      </c>
      <c r="C165">
        <v>11.04996</v>
      </c>
      <c r="D165">
        <v>0.91500000000000004</v>
      </c>
      <c r="E165">
        <v>0.33</v>
      </c>
      <c r="F165">
        <v>0</v>
      </c>
      <c r="G165">
        <v>0</v>
      </c>
      <c r="H165">
        <v>0</v>
      </c>
      <c r="I165">
        <v>2.68791</v>
      </c>
      <c r="J165">
        <v>10.41855</v>
      </c>
      <c r="K165">
        <v>1.7565500000000001</v>
      </c>
      <c r="L165">
        <v>0.33</v>
      </c>
      <c r="M165">
        <v>0</v>
      </c>
      <c r="N165">
        <v>0</v>
      </c>
      <c r="O165">
        <v>0</v>
      </c>
      <c r="P165">
        <v>2.6878700000000002</v>
      </c>
      <c r="Q165">
        <v>12.20927</v>
      </c>
      <c r="R165">
        <v>0.80323999999999995</v>
      </c>
      <c r="S165">
        <v>0.33</v>
      </c>
      <c r="T165">
        <v>0</v>
      </c>
      <c r="U165">
        <v>0</v>
      </c>
      <c r="V165">
        <v>0</v>
      </c>
      <c r="W165">
        <v>2.4616500000000001</v>
      </c>
      <c r="X165">
        <v>11.766019999999999</v>
      </c>
      <c r="Y165">
        <v>0.72763</v>
      </c>
      <c r="Z165">
        <v>0.33</v>
      </c>
      <c r="AA165">
        <v>0</v>
      </c>
      <c r="AB165">
        <v>0</v>
      </c>
      <c r="AC165">
        <v>0</v>
      </c>
      <c r="AD165">
        <v>3.0407999999999999</v>
      </c>
      <c r="AF165">
        <v>0.04</v>
      </c>
      <c r="AG165">
        <v>126279</v>
      </c>
      <c r="AH165">
        <v>0</v>
      </c>
      <c r="AI165">
        <v>0</v>
      </c>
      <c r="AJ165">
        <v>0</v>
      </c>
      <c r="AK165">
        <v>0</v>
      </c>
      <c r="AL165">
        <v>0.04</v>
      </c>
      <c r="AM165">
        <v>121525</v>
      </c>
      <c r="AN165">
        <v>0</v>
      </c>
      <c r="AO165">
        <v>0</v>
      </c>
      <c r="AP165">
        <v>0</v>
      </c>
      <c r="AQ165">
        <v>0</v>
      </c>
      <c r="AR165">
        <v>0.04</v>
      </c>
      <c r="AS165">
        <v>114552</v>
      </c>
      <c r="AT165">
        <v>0</v>
      </c>
      <c r="AU165">
        <v>0</v>
      </c>
      <c r="AV165">
        <v>0</v>
      </c>
      <c r="AW165">
        <v>0</v>
      </c>
      <c r="BA165">
        <v>3609</v>
      </c>
      <c r="BB165" t="s">
        <v>359</v>
      </c>
      <c r="BC165">
        <v>403.5</v>
      </c>
      <c r="BD165">
        <v>393.2</v>
      </c>
    </row>
    <row r="166" spans="1:56" x14ac:dyDescent="0.25">
      <c r="A166">
        <v>3582</v>
      </c>
      <c r="B166" t="s">
        <v>292</v>
      </c>
      <c r="C166">
        <v>11.573119999999999</v>
      </c>
      <c r="D166">
        <v>1.05183</v>
      </c>
      <c r="E166">
        <v>0.33</v>
      </c>
      <c r="F166">
        <v>0.67</v>
      </c>
      <c r="G166">
        <v>0.13500000000000001</v>
      </c>
      <c r="H166">
        <v>0</v>
      </c>
      <c r="I166">
        <v>1.0358400000000001</v>
      </c>
      <c r="J166">
        <v>11.114929999999999</v>
      </c>
      <c r="K166">
        <v>1.13459</v>
      </c>
      <c r="L166">
        <v>0.33</v>
      </c>
      <c r="M166">
        <v>0.67</v>
      </c>
      <c r="N166">
        <v>0.13500000000000001</v>
      </c>
      <c r="O166">
        <v>0</v>
      </c>
      <c r="P166">
        <v>1.08704</v>
      </c>
      <c r="Q166">
        <v>10.961639999999999</v>
      </c>
      <c r="R166">
        <v>1.21848</v>
      </c>
      <c r="S166">
        <v>0.33</v>
      </c>
      <c r="T166">
        <v>0.67</v>
      </c>
      <c r="U166">
        <v>0.13500000000000001</v>
      </c>
      <c r="V166">
        <v>0</v>
      </c>
      <c r="W166">
        <v>1.15551</v>
      </c>
      <c r="X166">
        <v>12.182790000000001</v>
      </c>
      <c r="Y166">
        <v>1.18615</v>
      </c>
      <c r="Z166">
        <v>0.33</v>
      </c>
      <c r="AA166">
        <v>0.66998999999999997</v>
      </c>
      <c r="AB166">
        <v>0.13500000000000001</v>
      </c>
      <c r="AC166">
        <v>0</v>
      </c>
      <c r="AD166">
        <v>0.98641000000000001</v>
      </c>
      <c r="AF166">
        <v>0.11</v>
      </c>
      <c r="AG166">
        <v>286730</v>
      </c>
      <c r="AH166">
        <v>0</v>
      </c>
      <c r="AI166">
        <v>0</v>
      </c>
      <c r="AJ166">
        <v>0</v>
      </c>
      <c r="AK166">
        <v>0</v>
      </c>
      <c r="AL166">
        <v>0.11</v>
      </c>
      <c r="AM166">
        <v>298112</v>
      </c>
      <c r="AN166">
        <v>0</v>
      </c>
      <c r="AO166">
        <v>0</v>
      </c>
      <c r="AP166">
        <v>0</v>
      </c>
      <c r="AQ166">
        <v>0</v>
      </c>
      <c r="AR166">
        <v>0.11</v>
      </c>
      <c r="AS166">
        <v>293303</v>
      </c>
      <c r="AT166">
        <v>0</v>
      </c>
      <c r="AU166">
        <v>0</v>
      </c>
      <c r="AV166">
        <v>0</v>
      </c>
      <c r="AW166">
        <v>0</v>
      </c>
      <c r="BA166">
        <v>3645</v>
      </c>
      <c r="BB166" t="s">
        <v>360</v>
      </c>
      <c r="BC166">
        <v>2595.6</v>
      </c>
      <c r="BD166">
        <v>2549.6999999999998</v>
      </c>
    </row>
    <row r="167" spans="1:56" x14ac:dyDescent="0.25">
      <c r="A167">
        <v>3600</v>
      </c>
      <c r="B167" t="s">
        <v>358</v>
      </c>
      <c r="C167">
        <v>10.848280000000001</v>
      </c>
      <c r="D167">
        <v>0.46727000000000002</v>
      </c>
      <c r="E167">
        <v>0.33</v>
      </c>
      <c r="F167">
        <v>0</v>
      </c>
      <c r="G167">
        <v>0</v>
      </c>
      <c r="H167">
        <v>0</v>
      </c>
      <c r="I167">
        <v>0</v>
      </c>
      <c r="J167">
        <v>10.836029999999999</v>
      </c>
      <c r="K167">
        <v>0.78813</v>
      </c>
      <c r="L167">
        <v>0.33</v>
      </c>
      <c r="M167">
        <v>0</v>
      </c>
      <c r="N167">
        <v>0</v>
      </c>
      <c r="O167">
        <v>0</v>
      </c>
      <c r="P167">
        <v>0</v>
      </c>
      <c r="Q167">
        <v>12.00253</v>
      </c>
      <c r="R167">
        <v>0.86202999999999996</v>
      </c>
      <c r="S167">
        <v>0.33</v>
      </c>
      <c r="T167">
        <v>0</v>
      </c>
      <c r="U167">
        <v>0</v>
      </c>
      <c r="V167">
        <v>0</v>
      </c>
      <c r="W167">
        <v>0</v>
      </c>
      <c r="X167">
        <v>11.82212</v>
      </c>
      <c r="Y167">
        <v>0.90251000000000003</v>
      </c>
      <c r="Z167">
        <v>0</v>
      </c>
      <c r="AA167">
        <v>1</v>
      </c>
      <c r="AB167">
        <v>0</v>
      </c>
      <c r="AC167">
        <v>0</v>
      </c>
      <c r="AD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BA167">
        <v>3715</v>
      </c>
      <c r="BB167" t="s">
        <v>361</v>
      </c>
      <c r="BC167">
        <v>6879.9</v>
      </c>
      <c r="BD167">
        <v>6943</v>
      </c>
    </row>
    <row r="168" spans="1:56" x14ac:dyDescent="0.25">
      <c r="A168">
        <v>3609</v>
      </c>
      <c r="B168" t="s">
        <v>359</v>
      </c>
      <c r="C168">
        <v>9.3547600000000006</v>
      </c>
      <c r="D168">
        <v>2.41073</v>
      </c>
      <c r="E168">
        <v>0.33</v>
      </c>
      <c r="F168">
        <v>1.1365000000000001</v>
      </c>
      <c r="G168">
        <v>0</v>
      </c>
      <c r="H168">
        <v>0</v>
      </c>
      <c r="I168">
        <v>2.6752199999999999</v>
      </c>
      <c r="J168">
        <v>10.20491</v>
      </c>
      <c r="K168">
        <v>2.6698599999999999</v>
      </c>
      <c r="L168">
        <v>0.33</v>
      </c>
      <c r="M168">
        <v>1.15662</v>
      </c>
      <c r="N168">
        <v>0</v>
      </c>
      <c r="O168">
        <v>0</v>
      </c>
      <c r="P168">
        <v>2.6384300000000001</v>
      </c>
      <c r="Q168">
        <v>10.26097</v>
      </c>
      <c r="R168">
        <v>2.5483199999999999</v>
      </c>
      <c r="S168">
        <v>0.33</v>
      </c>
      <c r="T168">
        <v>1.1606399999999999</v>
      </c>
      <c r="U168">
        <v>0</v>
      </c>
      <c r="V168">
        <v>0</v>
      </c>
      <c r="W168">
        <v>2.7</v>
      </c>
      <c r="X168">
        <v>13.382669999999999</v>
      </c>
      <c r="Y168">
        <v>1.1222300000000001</v>
      </c>
      <c r="Z168">
        <v>0.33</v>
      </c>
      <c r="AA168">
        <v>0.75205999999999995</v>
      </c>
      <c r="AB168">
        <v>0</v>
      </c>
      <c r="AC168">
        <v>0</v>
      </c>
      <c r="AD168">
        <v>1.40838</v>
      </c>
      <c r="AF168">
        <v>0.05</v>
      </c>
      <c r="AG168">
        <v>92648</v>
      </c>
      <c r="AH168">
        <v>0</v>
      </c>
      <c r="AI168">
        <v>0</v>
      </c>
      <c r="AJ168">
        <v>0.01</v>
      </c>
      <c r="AK168">
        <v>18530</v>
      </c>
      <c r="AL168">
        <v>0.05</v>
      </c>
      <c r="AM168">
        <v>86118</v>
      </c>
      <c r="AN168">
        <v>0</v>
      </c>
      <c r="AO168">
        <v>0</v>
      </c>
      <c r="AP168">
        <v>0.01</v>
      </c>
      <c r="AQ168">
        <v>17224</v>
      </c>
      <c r="AR168">
        <v>0.11</v>
      </c>
      <c r="AS168">
        <v>158851</v>
      </c>
      <c r="AT168">
        <v>0</v>
      </c>
      <c r="AU168">
        <v>0</v>
      </c>
      <c r="AV168">
        <v>0.04</v>
      </c>
      <c r="AW168">
        <v>57764</v>
      </c>
      <c r="BA168">
        <v>3744</v>
      </c>
      <c r="BB168" t="s">
        <v>362</v>
      </c>
      <c r="BC168">
        <v>678.5</v>
      </c>
      <c r="BD168">
        <v>699.5</v>
      </c>
    </row>
    <row r="169" spans="1:56" x14ac:dyDescent="0.25">
      <c r="A169">
        <v>3645</v>
      </c>
      <c r="B169" t="s">
        <v>360</v>
      </c>
      <c r="C169">
        <v>8.7180300000000006</v>
      </c>
      <c r="D169">
        <v>0.52649000000000001</v>
      </c>
      <c r="E169">
        <v>0.33</v>
      </c>
      <c r="F169">
        <v>0.5</v>
      </c>
      <c r="G169">
        <v>0</v>
      </c>
      <c r="H169">
        <v>0</v>
      </c>
      <c r="I169">
        <v>2.7</v>
      </c>
      <c r="J169">
        <v>9.11721</v>
      </c>
      <c r="K169">
        <v>0.52600000000000002</v>
      </c>
      <c r="L169">
        <v>0.33</v>
      </c>
      <c r="M169">
        <v>0.5</v>
      </c>
      <c r="N169">
        <v>0</v>
      </c>
      <c r="O169">
        <v>0</v>
      </c>
      <c r="P169">
        <v>2.64398</v>
      </c>
      <c r="Q169">
        <v>10.548069999999999</v>
      </c>
      <c r="R169">
        <v>0.53598999999999997</v>
      </c>
      <c r="S169">
        <v>0.33</v>
      </c>
      <c r="T169">
        <v>0.5</v>
      </c>
      <c r="U169">
        <v>0</v>
      </c>
      <c r="V169">
        <v>0</v>
      </c>
      <c r="W169">
        <v>1.3106</v>
      </c>
      <c r="X169">
        <v>10.47029</v>
      </c>
      <c r="Y169">
        <v>0.5</v>
      </c>
      <c r="Z169">
        <v>0.33</v>
      </c>
      <c r="AA169">
        <v>0.5</v>
      </c>
      <c r="AB169">
        <v>0</v>
      </c>
      <c r="AC169">
        <v>0</v>
      </c>
      <c r="AD169">
        <v>1.34145</v>
      </c>
      <c r="AF169">
        <v>0.06</v>
      </c>
      <c r="AG169">
        <v>710452</v>
      </c>
      <c r="AH169">
        <v>0</v>
      </c>
      <c r="AI169">
        <v>0</v>
      </c>
      <c r="AJ169">
        <v>0</v>
      </c>
      <c r="AK169">
        <v>0</v>
      </c>
      <c r="AL169">
        <v>0.06</v>
      </c>
      <c r="AM169">
        <v>672926</v>
      </c>
      <c r="AN169">
        <v>0</v>
      </c>
      <c r="AO169">
        <v>0</v>
      </c>
      <c r="AP169">
        <v>0</v>
      </c>
      <c r="AQ169">
        <v>0</v>
      </c>
      <c r="AR169">
        <v>0.06</v>
      </c>
      <c r="AS169">
        <v>667457</v>
      </c>
      <c r="AT169">
        <v>0</v>
      </c>
      <c r="AU169">
        <v>0</v>
      </c>
      <c r="AV169">
        <v>0</v>
      </c>
      <c r="AW169">
        <v>0</v>
      </c>
      <c r="BA169">
        <v>3798</v>
      </c>
      <c r="BB169" t="s">
        <v>363</v>
      </c>
      <c r="BC169">
        <v>569</v>
      </c>
      <c r="BD169">
        <v>553.9</v>
      </c>
    </row>
    <row r="170" spans="1:56" x14ac:dyDescent="0.25">
      <c r="A170">
        <v>3691</v>
      </c>
      <c r="B170" t="s">
        <v>404</v>
      </c>
      <c r="C170">
        <v>10.206950000000001</v>
      </c>
      <c r="D170">
        <v>1.0101800000000001</v>
      </c>
      <c r="E170">
        <v>0.33</v>
      </c>
      <c r="F170">
        <v>0.19436</v>
      </c>
      <c r="G170">
        <v>0</v>
      </c>
      <c r="H170">
        <v>0</v>
      </c>
      <c r="I170">
        <v>2.2357900000000002</v>
      </c>
      <c r="J170">
        <v>9.9208999999999996</v>
      </c>
      <c r="K170">
        <v>1.4235599999999999</v>
      </c>
      <c r="L170">
        <v>0.33</v>
      </c>
      <c r="M170">
        <v>0.21826000000000001</v>
      </c>
      <c r="N170">
        <v>0</v>
      </c>
      <c r="O170">
        <v>0</v>
      </c>
      <c r="P170">
        <v>2.35284</v>
      </c>
      <c r="Q170">
        <v>10.820679999999999</v>
      </c>
      <c r="R170">
        <v>1.12924</v>
      </c>
      <c r="S170">
        <v>0.33</v>
      </c>
      <c r="T170">
        <v>0.21357000000000001</v>
      </c>
      <c r="U170">
        <v>0</v>
      </c>
      <c r="V170">
        <v>0</v>
      </c>
      <c r="W170">
        <v>2.4916999999999998</v>
      </c>
      <c r="X170">
        <v>12.58503</v>
      </c>
      <c r="Y170">
        <v>0.60929</v>
      </c>
      <c r="Z170">
        <v>0.33</v>
      </c>
      <c r="AA170">
        <v>0.21615999999999999</v>
      </c>
      <c r="AB170">
        <v>0</v>
      </c>
      <c r="AC170">
        <v>0</v>
      </c>
      <c r="AD170">
        <v>2.53302</v>
      </c>
      <c r="AF170">
        <v>7.0000000000000007E-2</v>
      </c>
      <c r="AG170">
        <v>298991</v>
      </c>
      <c r="AH170">
        <v>0</v>
      </c>
      <c r="AI170">
        <v>0</v>
      </c>
      <c r="AJ170">
        <v>0.03</v>
      </c>
      <c r="AK170">
        <v>128139</v>
      </c>
      <c r="AL170">
        <v>7.0000000000000007E-2</v>
      </c>
      <c r="AM170">
        <v>285817</v>
      </c>
      <c r="AN170">
        <v>0</v>
      </c>
      <c r="AO170">
        <v>0</v>
      </c>
      <c r="AP170">
        <v>0.03</v>
      </c>
      <c r="AQ170">
        <v>122493</v>
      </c>
      <c r="AR170">
        <v>7.0000000000000007E-2</v>
      </c>
      <c r="AS170">
        <v>279642</v>
      </c>
      <c r="AT170">
        <v>0</v>
      </c>
      <c r="AU170">
        <v>0</v>
      </c>
      <c r="AV170">
        <v>0.03</v>
      </c>
      <c r="AW170">
        <v>119846</v>
      </c>
      <c r="BA170">
        <v>3816</v>
      </c>
      <c r="BB170" t="s">
        <v>364</v>
      </c>
      <c r="BC170">
        <v>425.1</v>
      </c>
      <c r="BD170">
        <v>404.5</v>
      </c>
    </row>
    <row r="171" spans="1:56" x14ac:dyDescent="0.25">
      <c r="A171">
        <v>3715</v>
      </c>
      <c r="B171" t="s">
        <v>361</v>
      </c>
      <c r="C171">
        <v>12.50639</v>
      </c>
      <c r="D171">
        <v>0.52341000000000004</v>
      </c>
      <c r="E171">
        <v>0.33</v>
      </c>
      <c r="F171">
        <v>1.34</v>
      </c>
      <c r="G171">
        <v>0.13500000000000001</v>
      </c>
      <c r="H171">
        <v>0</v>
      </c>
      <c r="I171">
        <v>2.1693099999999998</v>
      </c>
      <c r="J171">
        <v>12.732010000000001</v>
      </c>
      <c r="K171">
        <v>0.67647000000000002</v>
      </c>
      <c r="L171">
        <v>0.33</v>
      </c>
      <c r="M171">
        <v>1.34</v>
      </c>
      <c r="N171">
        <v>0.13500000000000001</v>
      </c>
      <c r="O171">
        <v>0</v>
      </c>
      <c r="P171">
        <v>2.0543200000000001</v>
      </c>
      <c r="Q171">
        <v>13.26</v>
      </c>
      <c r="R171">
        <v>0.5</v>
      </c>
      <c r="S171">
        <v>0.33</v>
      </c>
      <c r="T171">
        <v>1.34</v>
      </c>
      <c r="U171">
        <v>0.13500000000000001</v>
      </c>
      <c r="V171">
        <v>0</v>
      </c>
      <c r="W171">
        <v>2.1659899999999999</v>
      </c>
      <c r="X171">
        <v>13.93153</v>
      </c>
      <c r="Y171">
        <v>0.5</v>
      </c>
      <c r="Z171">
        <v>0.33</v>
      </c>
      <c r="AA171">
        <v>1.34</v>
      </c>
      <c r="AB171">
        <v>0.13500000000000001</v>
      </c>
      <c r="AC171">
        <v>0</v>
      </c>
      <c r="AD171">
        <v>2.3050799999999998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BA171">
        <v>3841</v>
      </c>
      <c r="BB171" t="s">
        <v>365</v>
      </c>
      <c r="BC171">
        <v>760.1</v>
      </c>
      <c r="BD171">
        <v>770.9</v>
      </c>
    </row>
    <row r="172" spans="1:56" x14ac:dyDescent="0.25">
      <c r="A172">
        <v>3744</v>
      </c>
      <c r="B172" t="s">
        <v>362</v>
      </c>
      <c r="C172">
        <v>11.57516</v>
      </c>
      <c r="D172">
        <v>1.7104600000000001</v>
      </c>
      <c r="E172">
        <v>0.33</v>
      </c>
      <c r="F172">
        <v>0.67</v>
      </c>
      <c r="G172">
        <v>0</v>
      </c>
      <c r="H172">
        <v>0</v>
      </c>
      <c r="I172">
        <v>2.6977500000000001</v>
      </c>
      <c r="J172">
        <v>10.743270000000001</v>
      </c>
      <c r="K172">
        <v>2.6796899999999999</v>
      </c>
      <c r="L172">
        <v>0.33</v>
      </c>
      <c r="M172">
        <v>0.67</v>
      </c>
      <c r="N172">
        <v>0</v>
      </c>
      <c r="O172">
        <v>0</v>
      </c>
      <c r="P172">
        <v>2.7</v>
      </c>
      <c r="Q172">
        <v>11.30148</v>
      </c>
      <c r="R172">
        <v>2.2132000000000001</v>
      </c>
      <c r="S172">
        <v>0.33</v>
      </c>
      <c r="T172">
        <v>0.67</v>
      </c>
      <c r="U172">
        <v>0</v>
      </c>
      <c r="V172">
        <v>0</v>
      </c>
      <c r="W172">
        <v>2.6985199999999998</v>
      </c>
      <c r="X172">
        <v>14.69087</v>
      </c>
      <c r="Y172">
        <v>1.25806</v>
      </c>
      <c r="Z172">
        <v>0.33</v>
      </c>
      <c r="AA172">
        <v>0.67</v>
      </c>
      <c r="AB172">
        <v>0</v>
      </c>
      <c r="AC172">
        <v>0</v>
      </c>
      <c r="AD172">
        <v>1.7114799999999999</v>
      </c>
      <c r="AF172">
        <v>0.04</v>
      </c>
      <c r="AG172">
        <v>118635</v>
      </c>
      <c r="AH172">
        <v>0</v>
      </c>
      <c r="AI172">
        <v>0</v>
      </c>
      <c r="AJ172">
        <v>0</v>
      </c>
      <c r="AK172">
        <v>0</v>
      </c>
      <c r="AL172">
        <v>0.04</v>
      </c>
      <c r="AM172">
        <v>116006</v>
      </c>
      <c r="AN172">
        <v>0</v>
      </c>
      <c r="AO172">
        <v>0</v>
      </c>
      <c r="AP172">
        <v>0</v>
      </c>
      <c r="AQ172">
        <v>0</v>
      </c>
      <c r="AR172">
        <v>0.08</v>
      </c>
      <c r="AS172">
        <v>228957</v>
      </c>
      <c r="AT172">
        <v>0</v>
      </c>
      <c r="AU172">
        <v>0</v>
      </c>
      <c r="AV172">
        <v>0</v>
      </c>
      <c r="AW172">
        <v>0</v>
      </c>
      <c r="BA172">
        <v>3897</v>
      </c>
      <c r="BB172" t="s">
        <v>366</v>
      </c>
      <c r="BC172">
        <v>76</v>
      </c>
      <c r="BD172">
        <v>76</v>
      </c>
    </row>
    <row r="173" spans="1:56" x14ac:dyDescent="0.25">
      <c r="A173">
        <v>3798</v>
      </c>
      <c r="B173" t="s">
        <v>363</v>
      </c>
      <c r="C173">
        <v>11.209619999999999</v>
      </c>
      <c r="D173">
        <v>0.96772999999999998</v>
      </c>
      <c r="E173">
        <v>0.33</v>
      </c>
      <c r="F173">
        <v>0</v>
      </c>
      <c r="G173">
        <v>0</v>
      </c>
      <c r="H173">
        <v>0</v>
      </c>
      <c r="I173">
        <v>2.0424199999999999</v>
      </c>
      <c r="J173">
        <v>11.42277</v>
      </c>
      <c r="K173">
        <v>1.01711</v>
      </c>
      <c r="L173">
        <v>0.33</v>
      </c>
      <c r="M173">
        <v>0</v>
      </c>
      <c r="N173">
        <v>0</v>
      </c>
      <c r="O173">
        <v>0</v>
      </c>
      <c r="P173">
        <v>2.0398100000000001</v>
      </c>
      <c r="Q173">
        <v>15.16023</v>
      </c>
      <c r="R173">
        <v>1.06463</v>
      </c>
      <c r="S173">
        <v>0.33</v>
      </c>
      <c r="T173">
        <v>0</v>
      </c>
      <c r="U173">
        <v>0</v>
      </c>
      <c r="V173">
        <v>0</v>
      </c>
      <c r="W173">
        <v>1.1090100000000001</v>
      </c>
      <c r="X173">
        <v>14.46242</v>
      </c>
      <c r="Y173">
        <v>1.7427299999999999</v>
      </c>
      <c r="Z173">
        <v>0.31689000000000001</v>
      </c>
      <c r="AA173">
        <v>0</v>
      </c>
      <c r="AB173">
        <v>0</v>
      </c>
      <c r="AC173">
        <v>0</v>
      </c>
      <c r="AD173">
        <v>1.24197</v>
      </c>
      <c r="AF173">
        <v>7.0000000000000007E-2</v>
      </c>
      <c r="AG173">
        <v>182572</v>
      </c>
      <c r="AH173">
        <v>0</v>
      </c>
      <c r="AI173">
        <v>0</v>
      </c>
      <c r="AJ173">
        <v>0</v>
      </c>
      <c r="AK173">
        <v>0</v>
      </c>
      <c r="AL173">
        <v>7.0000000000000007E-2</v>
      </c>
      <c r="AM173">
        <v>173639</v>
      </c>
      <c r="AN173">
        <v>0</v>
      </c>
      <c r="AO173">
        <v>0</v>
      </c>
      <c r="AP173">
        <v>0</v>
      </c>
      <c r="AQ173">
        <v>0</v>
      </c>
      <c r="AR173">
        <v>7.0000000000000007E-2</v>
      </c>
      <c r="AS173">
        <v>163668</v>
      </c>
      <c r="AT173">
        <v>0</v>
      </c>
      <c r="AU173">
        <v>0</v>
      </c>
      <c r="AV173">
        <v>0</v>
      </c>
      <c r="AW173">
        <v>0</v>
      </c>
      <c r="BA173">
        <v>3906</v>
      </c>
      <c r="BB173" t="s">
        <v>367</v>
      </c>
      <c r="BC173">
        <v>435.8</v>
      </c>
      <c r="BD173">
        <v>432.8</v>
      </c>
    </row>
    <row r="174" spans="1:56" x14ac:dyDescent="0.25">
      <c r="A174">
        <v>3816</v>
      </c>
      <c r="B174" t="s">
        <v>364</v>
      </c>
      <c r="C174">
        <v>9.0454000000000008</v>
      </c>
      <c r="D174">
        <v>0.87485999999999997</v>
      </c>
      <c r="E174">
        <v>0.33</v>
      </c>
      <c r="F174">
        <v>0.67</v>
      </c>
      <c r="G174">
        <v>0</v>
      </c>
      <c r="H174">
        <v>0</v>
      </c>
      <c r="I174">
        <v>1.9169799999999999</v>
      </c>
      <c r="J174">
        <v>9.0959699999999994</v>
      </c>
      <c r="K174">
        <v>0.73504000000000003</v>
      </c>
      <c r="L174">
        <v>0.32543</v>
      </c>
      <c r="M174">
        <v>0.66071999999999997</v>
      </c>
      <c r="N174">
        <v>0</v>
      </c>
      <c r="O174">
        <v>0</v>
      </c>
      <c r="P174">
        <v>1.9145300000000001</v>
      </c>
      <c r="Q174">
        <v>10.20032</v>
      </c>
      <c r="R174">
        <v>0.53381000000000001</v>
      </c>
      <c r="S174">
        <v>0.33</v>
      </c>
      <c r="T174">
        <v>0.67</v>
      </c>
      <c r="U174">
        <v>0</v>
      </c>
      <c r="V174">
        <v>0</v>
      </c>
      <c r="W174">
        <v>1.0763199999999999</v>
      </c>
      <c r="X174">
        <v>11.0085</v>
      </c>
      <c r="Y174">
        <v>0.52266999999999997</v>
      </c>
      <c r="Z174">
        <v>0.33</v>
      </c>
      <c r="AA174">
        <v>0.67</v>
      </c>
      <c r="AB174">
        <v>0</v>
      </c>
      <c r="AC174">
        <v>0</v>
      </c>
      <c r="AD174">
        <v>0.37010999999999999</v>
      </c>
      <c r="AF174">
        <v>0.09</v>
      </c>
      <c r="AG174">
        <v>178918</v>
      </c>
      <c r="AH174">
        <v>0</v>
      </c>
      <c r="AI174">
        <v>0</v>
      </c>
      <c r="AJ174">
        <v>0</v>
      </c>
      <c r="AK174">
        <v>0</v>
      </c>
      <c r="AL174">
        <v>0.09</v>
      </c>
      <c r="AM174">
        <v>176635</v>
      </c>
      <c r="AN174">
        <v>0</v>
      </c>
      <c r="AO174">
        <v>0</v>
      </c>
      <c r="AP174">
        <v>0</v>
      </c>
      <c r="AQ174">
        <v>0</v>
      </c>
      <c r="AR174">
        <v>0.09</v>
      </c>
      <c r="AS174">
        <v>174581</v>
      </c>
      <c r="AT174">
        <v>0</v>
      </c>
      <c r="AU174">
        <v>0</v>
      </c>
      <c r="AV174">
        <v>0</v>
      </c>
      <c r="AW174">
        <v>0</v>
      </c>
      <c r="BA174">
        <v>3942</v>
      </c>
      <c r="BB174" t="s">
        <v>368</v>
      </c>
      <c r="BC174">
        <v>676.1</v>
      </c>
      <c r="BD174">
        <v>650.6</v>
      </c>
    </row>
    <row r="175" spans="1:56" x14ac:dyDescent="0.25">
      <c r="A175">
        <v>3841</v>
      </c>
      <c r="B175" t="s">
        <v>365</v>
      </c>
      <c r="C175">
        <v>9.1243999999999996</v>
      </c>
      <c r="D175">
        <v>1.2172000000000001</v>
      </c>
      <c r="E175">
        <v>0.33</v>
      </c>
      <c r="F175">
        <v>0.53756000000000004</v>
      </c>
      <c r="G175">
        <v>0</v>
      </c>
      <c r="H175">
        <v>0</v>
      </c>
      <c r="I175">
        <v>0</v>
      </c>
      <c r="J175">
        <v>9.3041</v>
      </c>
      <c r="K175">
        <v>0.39384999999999998</v>
      </c>
      <c r="L175">
        <v>0.33</v>
      </c>
      <c r="M175">
        <v>0.55813999999999997</v>
      </c>
      <c r="N175">
        <v>0</v>
      </c>
      <c r="O175">
        <v>0</v>
      </c>
      <c r="P175">
        <v>0</v>
      </c>
      <c r="Q175">
        <v>10.275740000000001</v>
      </c>
      <c r="R175">
        <v>0.81921999999999995</v>
      </c>
      <c r="S175">
        <v>0.33</v>
      </c>
      <c r="T175">
        <v>0.55098999999999998</v>
      </c>
      <c r="U175">
        <v>0</v>
      </c>
      <c r="V175">
        <v>0</v>
      </c>
      <c r="W175">
        <v>0</v>
      </c>
      <c r="X175">
        <v>12.486879999999999</v>
      </c>
      <c r="Y175">
        <v>0.41943999999999998</v>
      </c>
      <c r="Z175">
        <v>0.33</v>
      </c>
      <c r="AA175">
        <v>0.54993000000000003</v>
      </c>
      <c r="AB175">
        <v>0</v>
      </c>
      <c r="AC175">
        <v>0</v>
      </c>
      <c r="AD175">
        <v>0</v>
      </c>
      <c r="AF175">
        <v>0.09</v>
      </c>
      <c r="AG175">
        <v>257339</v>
      </c>
      <c r="AH175">
        <v>0</v>
      </c>
      <c r="AI175">
        <v>0</v>
      </c>
      <c r="AJ175">
        <v>0.01</v>
      </c>
      <c r="AK175">
        <v>28593</v>
      </c>
      <c r="AL175">
        <v>0.09</v>
      </c>
      <c r="AM175">
        <v>263191</v>
      </c>
      <c r="AN175">
        <v>0</v>
      </c>
      <c r="AO175">
        <v>0</v>
      </c>
      <c r="AP175">
        <v>0.01</v>
      </c>
      <c r="AQ175">
        <v>29243</v>
      </c>
      <c r="AR175">
        <v>0.09</v>
      </c>
      <c r="AS175">
        <v>259953</v>
      </c>
      <c r="AT175">
        <v>0</v>
      </c>
      <c r="AU175">
        <v>0</v>
      </c>
      <c r="AV175">
        <v>0.01</v>
      </c>
      <c r="AW175">
        <v>28884</v>
      </c>
      <c r="BA175">
        <v>4023</v>
      </c>
      <c r="BB175" t="s">
        <v>369</v>
      </c>
      <c r="BC175">
        <v>632.1</v>
      </c>
      <c r="BD175">
        <v>671</v>
      </c>
    </row>
    <row r="176" spans="1:56" x14ac:dyDescent="0.25">
      <c r="A176">
        <v>3897</v>
      </c>
      <c r="B176" t="s">
        <v>366</v>
      </c>
      <c r="C176">
        <v>7.46584</v>
      </c>
      <c r="D176">
        <v>1.5294399999999999</v>
      </c>
      <c r="E176">
        <v>0.33</v>
      </c>
      <c r="F176">
        <v>0</v>
      </c>
      <c r="G176">
        <v>0</v>
      </c>
      <c r="H176">
        <v>0</v>
      </c>
      <c r="I176">
        <v>0</v>
      </c>
      <c r="J176">
        <v>7.6701899999999998</v>
      </c>
      <c r="K176">
        <v>0.88156000000000001</v>
      </c>
      <c r="L176">
        <v>0.33</v>
      </c>
      <c r="M176">
        <v>0</v>
      </c>
      <c r="N176">
        <v>0</v>
      </c>
      <c r="O176">
        <v>0</v>
      </c>
      <c r="P176">
        <v>0</v>
      </c>
      <c r="Q176">
        <v>10.48986</v>
      </c>
      <c r="R176">
        <v>0.65344999999999998</v>
      </c>
      <c r="S176">
        <v>0.33</v>
      </c>
      <c r="T176">
        <v>0</v>
      </c>
      <c r="U176">
        <v>0</v>
      </c>
      <c r="V176">
        <v>0</v>
      </c>
      <c r="W176">
        <v>0</v>
      </c>
      <c r="X176">
        <v>10.97104</v>
      </c>
      <c r="Y176">
        <v>0.70467999999999997</v>
      </c>
      <c r="Z176">
        <v>0.33</v>
      </c>
      <c r="AA176">
        <v>0</v>
      </c>
      <c r="AB176">
        <v>0</v>
      </c>
      <c r="AC176">
        <v>0</v>
      </c>
      <c r="AD176">
        <v>0</v>
      </c>
      <c r="AF176">
        <v>0.1</v>
      </c>
      <c r="AG176">
        <v>35974</v>
      </c>
      <c r="AH176">
        <v>0.05</v>
      </c>
      <c r="AI176">
        <v>17987</v>
      </c>
      <c r="AJ176">
        <v>0</v>
      </c>
      <c r="AK176">
        <v>0</v>
      </c>
      <c r="AL176">
        <v>0.1</v>
      </c>
      <c r="AM176">
        <v>35225</v>
      </c>
      <c r="AN176">
        <v>0.05</v>
      </c>
      <c r="AO176">
        <v>17613</v>
      </c>
      <c r="AP176">
        <v>0</v>
      </c>
      <c r="AQ176">
        <v>0</v>
      </c>
      <c r="AR176">
        <v>0.1</v>
      </c>
      <c r="AS176">
        <v>32358</v>
      </c>
      <c r="AT176">
        <v>0.05</v>
      </c>
      <c r="AU176">
        <v>16179</v>
      </c>
      <c r="AV176">
        <v>0</v>
      </c>
      <c r="AW176">
        <v>0</v>
      </c>
      <c r="BA176">
        <v>4033</v>
      </c>
      <c r="BB176" t="s">
        <v>610</v>
      </c>
      <c r="BC176">
        <v>695.2</v>
      </c>
      <c r="BD176">
        <v>673.1</v>
      </c>
    </row>
    <row r="177" spans="1:56" x14ac:dyDescent="0.25">
      <c r="A177">
        <v>3906</v>
      </c>
      <c r="B177" t="s">
        <v>367</v>
      </c>
      <c r="C177">
        <v>8.4828399999999995</v>
      </c>
      <c r="D177">
        <v>0.73297000000000001</v>
      </c>
      <c r="E177">
        <v>0.33</v>
      </c>
      <c r="F177">
        <v>0.26328000000000001</v>
      </c>
      <c r="G177">
        <v>0</v>
      </c>
      <c r="H177">
        <v>0</v>
      </c>
      <c r="I177">
        <v>1.2063200000000001</v>
      </c>
      <c r="J177">
        <v>8.8018800000000006</v>
      </c>
      <c r="K177">
        <v>0.72709000000000001</v>
      </c>
      <c r="L177">
        <v>0.33</v>
      </c>
      <c r="M177">
        <v>0.31852999999999998</v>
      </c>
      <c r="N177">
        <v>0</v>
      </c>
      <c r="O177">
        <v>0</v>
      </c>
      <c r="P177">
        <v>1.2371799999999999</v>
      </c>
      <c r="Q177">
        <v>10.508929999999999</v>
      </c>
      <c r="R177">
        <v>0.51798</v>
      </c>
      <c r="S177">
        <v>0.33</v>
      </c>
      <c r="T177">
        <v>0.30184</v>
      </c>
      <c r="U177">
        <v>0</v>
      </c>
      <c r="V177">
        <v>0</v>
      </c>
      <c r="W177">
        <v>0.73038000000000003</v>
      </c>
      <c r="X177">
        <v>10.82118</v>
      </c>
      <c r="Y177">
        <v>0.50290999999999997</v>
      </c>
      <c r="Z177">
        <v>0.33</v>
      </c>
      <c r="AA177">
        <v>0.33860000000000001</v>
      </c>
      <c r="AB177">
        <v>0</v>
      </c>
      <c r="AC177">
        <v>0</v>
      </c>
      <c r="AD177">
        <v>0.85311999999999999</v>
      </c>
      <c r="AF177">
        <v>0.06</v>
      </c>
      <c r="AG177">
        <v>183798</v>
      </c>
      <c r="AH177">
        <v>0</v>
      </c>
      <c r="AI177">
        <v>0</v>
      </c>
      <c r="AJ177">
        <v>0.02</v>
      </c>
      <c r="AK177">
        <v>61266</v>
      </c>
      <c r="AL177">
        <v>0.06</v>
      </c>
      <c r="AM177">
        <v>184701</v>
      </c>
      <c r="AN177">
        <v>0</v>
      </c>
      <c r="AO177">
        <v>0</v>
      </c>
      <c r="AP177">
        <v>0.02</v>
      </c>
      <c r="AQ177">
        <v>61567</v>
      </c>
      <c r="AR177">
        <v>0.06</v>
      </c>
      <c r="AS177">
        <v>162107</v>
      </c>
      <c r="AT177">
        <v>0</v>
      </c>
      <c r="AU177">
        <v>0</v>
      </c>
      <c r="AV177">
        <v>0.02</v>
      </c>
      <c r="AW177">
        <v>54036</v>
      </c>
      <c r="BA177">
        <v>4041</v>
      </c>
      <c r="BB177" t="s">
        <v>371</v>
      </c>
      <c r="BC177">
        <v>1377.6</v>
      </c>
      <c r="BD177">
        <v>1352.6</v>
      </c>
    </row>
    <row r="178" spans="1:56" x14ac:dyDescent="0.25">
      <c r="A178">
        <v>3942</v>
      </c>
      <c r="B178" t="s">
        <v>368</v>
      </c>
      <c r="C178">
        <v>11.916069999999999</v>
      </c>
      <c r="D178">
        <v>2.4634900000000002</v>
      </c>
      <c r="E178">
        <v>0.33</v>
      </c>
      <c r="F178">
        <v>1</v>
      </c>
      <c r="G178">
        <v>0</v>
      </c>
      <c r="H178">
        <v>0</v>
      </c>
      <c r="I178">
        <v>1.33128</v>
      </c>
      <c r="J178">
        <v>12.543659999999999</v>
      </c>
      <c r="K178">
        <v>2.0373800000000002</v>
      </c>
      <c r="L178">
        <v>0.33</v>
      </c>
      <c r="M178">
        <v>1</v>
      </c>
      <c r="N178">
        <v>0</v>
      </c>
      <c r="O178">
        <v>0</v>
      </c>
      <c r="P178">
        <v>1.337</v>
      </c>
      <c r="Q178">
        <v>12.7036</v>
      </c>
      <c r="R178">
        <v>2.2037399999999998</v>
      </c>
      <c r="S178">
        <v>0.33</v>
      </c>
      <c r="T178">
        <v>1</v>
      </c>
      <c r="U178">
        <v>0</v>
      </c>
      <c r="V178">
        <v>0</v>
      </c>
      <c r="W178">
        <v>0.96003000000000005</v>
      </c>
      <c r="X178">
        <v>13.115170000000001</v>
      </c>
      <c r="Y178">
        <v>2.1403599999999998</v>
      </c>
      <c r="Z178">
        <v>0.33</v>
      </c>
      <c r="AA178">
        <v>1</v>
      </c>
      <c r="AB178">
        <v>0</v>
      </c>
      <c r="AC178">
        <v>0</v>
      </c>
      <c r="AD178">
        <v>0.54</v>
      </c>
      <c r="AF178">
        <v>7.0000000000000007E-2</v>
      </c>
      <c r="AG178">
        <v>224555</v>
      </c>
      <c r="AH178">
        <v>0</v>
      </c>
      <c r="AI178">
        <v>0</v>
      </c>
      <c r="AJ178">
        <v>0</v>
      </c>
      <c r="AK178">
        <v>0</v>
      </c>
      <c r="AL178">
        <v>7.0000000000000007E-2</v>
      </c>
      <c r="AM178">
        <v>214557</v>
      </c>
      <c r="AN178">
        <v>0</v>
      </c>
      <c r="AO178">
        <v>0</v>
      </c>
      <c r="AP178">
        <v>0</v>
      </c>
      <c r="AQ178">
        <v>0</v>
      </c>
      <c r="AR178">
        <v>0.06</v>
      </c>
      <c r="AS178">
        <v>177078</v>
      </c>
      <c r="AT178">
        <v>0</v>
      </c>
      <c r="AU178">
        <v>0</v>
      </c>
      <c r="AV178">
        <v>0</v>
      </c>
      <c r="AW178">
        <v>0</v>
      </c>
      <c r="BA178">
        <v>4043</v>
      </c>
      <c r="BB178" t="s">
        <v>372</v>
      </c>
      <c r="BC178">
        <v>719.5</v>
      </c>
      <c r="BD178">
        <v>691.1</v>
      </c>
    </row>
    <row r="179" spans="1:56" x14ac:dyDescent="0.25">
      <c r="A179">
        <v>3978</v>
      </c>
      <c r="B179" t="s">
        <v>609</v>
      </c>
      <c r="C179">
        <v>7.9827899999999996</v>
      </c>
      <c r="D179">
        <v>4.3699399999999997</v>
      </c>
      <c r="E179">
        <v>0.33</v>
      </c>
      <c r="F179">
        <v>0</v>
      </c>
      <c r="G179">
        <v>0</v>
      </c>
      <c r="H179">
        <v>0</v>
      </c>
      <c r="I179">
        <v>0</v>
      </c>
      <c r="J179">
        <v>7.7430300000000001</v>
      </c>
      <c r="K179">
        <v>4.2801499999999999</v>
      </c>
      <c r="L179">
        <v>0.33</v>
      </c>
      <c r="M179">
        <v>0</v>
      </c>
      <c r="N179">
        <v>0</v>
      </c>
      <c r="O179">
        <v>0</v>
      </c>
      <c r="P179">
        <v>0</v>
      </c>
      <c r="Q179">
        <v>10.04941</v>
      </c>
      <c r="R179">
        <v>2.9262700000000001</v>
      </c>
      <c r="S179">
        <v>0.33</v>
      </c>
      <c r="T179">
        <v>0</v>
      </c>
      <c r="U179">
        <v>0</v>
      </c>
      <c r="V179">
        <v>0</v>
      </c>
      <c r="W179">
        <v>0</v>
      </c>
      <c r="X179">
        <v>13.325010000000001</v>
      </c>
      <c r="Y179">
        <v>0.79701</v>
      </c>
      <c r="Z179">
        <v>0.32845000000000002</v>
      </c>
      <c r="AA179">
        <v>0</v>
      </c>
      <c r="AB179">
        <v>0</v>
      </c>
      <c r="AC179">
        <v>0</v>
      </c>
      <c r="AD179">
        <v>0</v>
      </c>
      <c r="AF179">
        <v>0.08</v>
      </c>
      <c r="AG179">
        <v>199512</v>
      </c>
      <c r="AH179">
        <v>0</v>
      </c>
      <c r="AI179">
        <v>0</v>
      </c>
      <c r="AJ179">
        <v>0</v>
      </c>
      <c r="AK179">
        <v>0</v>
      </c>
      <c r="AL179">
        <v>0.08</v>
      </c>
      <c r="AM179">
        <v>189065</v>
      </c>
      <c r="AN179">
        <v>0</v>
      </c>
      <c r="AO179">
        <v>0</v>
      </c>
      <c r="AP179">
        <v>0</v>
      </c>
      <c r="AQ179">
        <v>0</v>
      </c>
      <c r="AR179">
        <v>0.08</v>
      </c>
      <c r="AS179">
        <v>184972</v>
      </c>
      <c r="AT179">
        <v>0</v>
      </c>
      <c r="AU179">
        <v>0</v>
      </c>
      <c r="AV179">
        <v>0</v>
      </c>
      <c r="AW179">
        <v>0</v>
      </c>
      <c r="BA179">
        <v>4068</v>
      </c>
      <c r="BB179" t="s">
        <v>373</v>
      </c>
      <c r="BC179">
        <v>451.4</v>
      </c>
      <c r="BD179">
        <v>433.2</v>
      </c>
    </row>
    <row r="180" spans="1:56" x14ac:dyDescent="0.25">
      <c r="A180">
        <v>4023</v>
      </c>
      <c r="B180" t="s">
        <v>369</v>
      </c>
      <c r="C180">
        <v>9.0959699999999994</v>
      </c>
      <c r="D180">
        <v>0.31561</v>
      </c>
      <c r="E180">
        <v>0.33</v>
      </c>
      <c r="F180">
        <v>0.83</v>
      </c>
      <c r="G180">
        <v>0</v>
      </c>
      <c r="H180">
        <v>0</v>
      </c>
      <c r="I180">
        <v>0</v>
      </c>
      <c r="J180">
        <v>8.1909100000000006</v>
      </c>
      <c r="K180">
        <v>0.32423999999999997</v>
      </c>
      <c r="L180">
        <v>0.33</v>
      </c>
      <c r="M180">
        <v>0.5</v>
      </c>
      <c r="N180">
        <v>0</v>
      </c>
      <c r="O180">
        <v>0</v>
      </c>
      <c r="P180">
        <v>0</v>
      </c>
      <c r="Q180">
        <v>8.2865699999999993</v>
      </c>
      <c r="R180">
        <v>1.1655500000000001</v>
      </c>
      <c r="S180">
        <v>0.33</v>
      </c>
      <c r="T180">
        <v>0.5</v>
      </c>
      <c r="U180">
        <v>0</v>
      </c>
      <c r="V180">
        <v>0</v>
      </c>
      <c r="W180">
        <v>0</v>
      </c>
      <c r="X180">
        <v>9.7200500000000005</v>
      </c>
      <c r="Y180">
        <v>0.84674000000000005</v>
      </c>
      <c r="Z180">
        <v>0.33</v>
      </c>
      <c r="AA180">
        <v>0</v>
      </c>
      <c r="AB180">
        <v>0</v>
      </c>
      <c r="AC180">
        <v>0</v>
      </c>
      <c r="AD180">
        <v>0</v>
      </c>
      <c r="AF180">
        <v>0.08</v>
      </c>
      <c r="AG180">
        <v>321145</v>
      </c>
      <c r="AH180">
        <v>0</v>
      </c>
      <c r="AI180">
        <v>0</v>
      </c>
      <c r="AJ180">
        <v>0</v>
      </c>
      <c r="AK180">
        <v>0</v>
      </c>
      <c r="AL180">
        <v>0.08</v>
      </c>
      <c r="AM180">
        <v>305691</v>
      </c>
      <c r="AN180">
        <v>0</v>
      </c>
      <c r="AO180">
        <v>0</v>
      </c>
      <c r="AP180">
        <v>0</v>
      </c>
      <c r="AQ180">
        <v>0</v>
      </c>
      <c r="AR180">
        <v>0.08</v>
      </c>
      <c r="AS180">
        <v>299969</v>
      </c>
      <c r="AT180">
        <v>0</v>
      </c>
      <c r="AU180">
        <v>0</v>
      </c>
      <c r="AV180">
        <v>0</v>
      </c>
      <c r="AW180">
        <v>0</v>
      </c>
      <c r="BA180">
        <v>4086</v>
      </c>
      <c r="BB180" t="s">
        <v>374</v>
      </c>
      <c r="BC180">
        <v>1864.8</v>
      </c>
      <c r="BD180">
        <v>1864</v>
      </c>
    </row>
    <row r="181" spans="1:56" x14ac:dyDescent="0.25">
      <c r="A181">
        <v>4033</v>
      </c>
      <c r="B181" t="s">
        <v>610</v>
      </c>
      <c r="C181">
        <v>9.5776000000000003</v>
      </c>
      <c r="D181">
        <v>0.31281999999999999</v>
      </c>
      <c r="E181">
        <v>0.32999000000000001</v>
      </c>
      <c r="F181">
        <v>0</v>
      </c>
      <c r="G181">
        <v>0</v>
      </c>
      <c r="H181">
        <v>0</v>
      </c>
      <c r="I181">
        <v>1.59484</v>
      </c>
      <c r="J181">
        <v>9.1207899999999995</v>
      </c>
      <c r="K181">
        <v>0.2878</v>
      </c>
      <c r="L181">
        <v>0.33</v>
      </c>
      <c r="M181">
        <v>0</v>
      </c>
      <c r="N181">
        <v>0</v>
      </c>
      <c r="O181">
        <v>0</v>
      </c>
      <c r="P181">
        <v>1.6809799999999999</v>
      </c>
      <c r="Q181">
        <v>9.3646600000000007</v>
      </c>
      <c r="R181">
        <v>0.17424000000000001</v>
      </c>
      <c r="S181">
        <v>0.33</v>
      </c>
      <c r="T181">
        <v>0</v>
      </c>
      <c r="U181">
        <v>0</v>
      </c>
      <c r="V181">
        <v>0</v>
      </c>
      <c r="W181">
        <v>1.0283599999999999</v>
      </c>
      <c r="X181">
        <v>12.238390000000001</v>
      </c>
      <c r="Y181">
        <v>0.70784999999999998</v>
      </c>
      <c r="Z181">
        <v>0.33</v>
      </c>
      <c r="AA181">
        <v>0</v>
      </c>
      <c r="AB181">
        <v>0</v>
      </c>
      <c r="AC181">
        <v>0</v>
      </c>
      <c r="AD181">
        <v>1.0983099999999999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0.05</v>
      </c>
      <c r="AS181">
        <v>121196</v>
      </c>
      <c r="AT181">
        <v>0</v>
      </c>
      <c r="AU181">
        <v>0</v>
      </c>
      <c r="AV181">
        <v>0</v>
      </c>
      <c r="AW181">
        <v>0</v>
      </c>
      <c r="BA181">
        <v>4104</v>
      </c>
      <c r="BB181" t="s">
        <v>375</v>
      </c>
      <c r="BC181">
        <v>5308.2</v>
      </c>
      <c r="BD181">
        <v>5388.5</v>
      </c>
    </row>
    <row r="182" spans="1:56" x14ac:dyDescent="0.25">
      <c r="A182">
        <v>4041</v>
      </c>
      <c r="B182" t="s">
        <v>371</v>
      </c>
      <c r="C182">
        <v>11.23373</v>
      </c>
      <c r="D182">
        <v>1.85443</v>
      </c>
      <c r="E182">
        <v>0.33</v>
      </c>
      <c r="F182">
        <v>0.67</v>
      </c>
      <c r="G182">
        <v>0</v>
      </c>
      <c r="H182">
        <v>0</v>
      </c>
      <c r="I182">
        <v>0</v>
      </c>
      <c r="J182">
        <v>11.525399999999999</v>
      </c>
      <c r="K182">
        <v>1.63306</v>
      </c>
      <c r="L182">
        <v>0.33</v>
      </c>
      <c r="M182">
        <v>0.67</v>
      </c>
      <c r="N182">
        <v>0</v>
      </c>
      <c r="O182">
        <v>0</v>
      </c>
      <c r="P182">
        <v>0</v>
      </c>
      <c r="Q182">
        <v>11.692209999999999</v>
      </c>
      <c r="R182">
        <v>1.26953</v>
      </c>
      <c r="S182">
        <v>0.33</v>
      </c>
      <c r="T182">
        <v>0.67</v>
      </c>
      <c r="U182">
        <v>0</v>
      </c>
      <c r="V182">
        <v>0</v>
      </c>
      <c r="W182">
        <v>0</v>
      </c>
      <c r="X182">
        <v>12.83042</v>
      </c>
      <c r="Y182">
        <v>0.99975000000000003</v>
      </c>
      <c r="Z182">
        <v>0.33</v>
      </c>
      <c r="AA182">
        <v>0.67</v>
      </c>
      <c r="AB182">
        <v>0</v>
      </c>
      <c r="AC182">
        <v>0</v>
      </c>
      <c r="AD182">
        <v>0</v>
      </c>
      <c r="AF182">
        <v>0.1</v>
      </c>
      <c r="AG182">
        <v>575238</v>
      </c>
      <c r="AH182">
        <v>0</v>
      </c>
      <c r="AI182">
        <v>0</v>
      </c>
      <c r="AJ182">
        <v>0</v>
      </c>
      <c r="AK182">
        <v>0</v>
      </c>
      <c r="AL182">
        <v>0.09</v>
      </c>
      <c r="AM182">
        <v>481137</v>
      </c>
      <c r="AN182">
        <v>0</v>
      </c>
      <c r="AO182">
        <v>0</v>
      </c>
      <c r="AP182">
        <v>0</v>
      </c>
      <c r="AQ182">
        <v>0</v>
      </c>
      <c r="AR182">
        <v>0.09</v>
      </c>
      <c r="AS182">
        <v>554555</v>
      </c>
      <c r="AT182">
        <v>0</v>
      </c>
      <c r="AU182">
        <v>0</v>
      </c>
      <c r="AV182">
        <v>0</v>
      </c>
      <c r="AW182">
        <v>0</v>
      </c>
      <c r="BA182">
        <v>4122</v>
      </c>
      <c r="BB182" t="s">
        <v>376</v>
      </c>
      <c r="BC182">
        <v>531.4</v>
      </c>
      <c r="BD182">
        <v>530.5</v>
      </c>
    </row>
    <row r="183" spans="1:56" x14ac:dyDescent="0.25">
      <c r="A183">
        <v>4043</v>
      </c>
      <c r="B183" t="s">
        <v>372</v>
      </c>
      <c r="C183">
        <v>11.68511</v>
      </c>
      <c r="D183">
        <v>1.27068</v>
      </c>
      <c r="E183">
        <v>0.33</v>
      </c>
      <c r="F183">
        <v>0</v>
      </c>
      <c r="G183">
        <v>0</v>
      </c>
      <c r="H183">
        <v>0</v>
      </c>
      <c r="I183">
        <v>2.0207000000000002</v>
      </c>
      <c r="J183">
        <v>10.51013</v>
      </c>
      <c r="K183">
        <v>2.33101</v>
      </c>
      <c r="L183">
        <v>0.33</v>
      </c>
      <c r="M183">
        <v>0</v>
      </c>
      <c r="N183">
        <v>0</v>
      </c>
      <c r="O183">
        <v>0</v>
      </c>
      <c r="P183">
        <v>2.1312700000000002</v>
      </c>
      <c r="Q183">
        <v>10.861470000000001</v>
      </c>
      <c r="R183">
        <v>2.2975099999999999</v>
      </c>
      <c r="S183">
        <v>0.33</v>
      </c>
      <c r="T183">
        <v>0</v>
      </c>
      <c r="U183">
        <v>0</v>
      </c>
      <c r="V183">
        <v>0</v>
      </c>
      <c r="W183">
        <v>2.23143</v>
      </c>
      <c r="X183">
        <v>12.389849999999999</v>
      </c>
      <c r="Y183">
        <v>1.71258</v>
      </c>
      <c r="Z183">
        <v>0.33</v>
      </c>
      <c r="AA183">
        <v>0</v>
      </c>
      <c r="AB183">
        <v>0</v>
      </c>
      <c r="AC183">
        <v>0</v>
      </c>
      <c r="AD183">
        <v>1.5347500000000001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BA183">
        <v>4131</v>
      </c>
      <c r="BB183" t="s">
        <v>377</v>
      </c>
      <c r="BC183">
        <v>3751.1</v>
      </c>
      <c r="BD183">
        <v>3724.7</v>
      </c>
    </row>
    <row r="184" spans="1:56" x14ac:dyDescent="0.25">
      <c r="A184">
        <v>4068</v>
      </c>
      <c r="B184" t="s">
        <v>373</v>
      </c>
      <c r="C184">
        <v>7.3448799999999999</v>
      </c>
      <c r="D184">
        <v>0.34908</v>
      </c>
      <c r="E184">
        <v>0.33</v>
      </c>
      <c r="F184">
        <v>0.67</v>
      </c>
      <c r="G184">
        <v>0</v>
      </c>
      <c r="H184">
        <v>0</v>
      </c>
      <c r="I184">
        <v>2.34165</v>
      </c>
      <c r="J184">
        <v>8.9848999999999997</v>
      </c>
      <c r="K184">
        <v>0.36294999999999999</v>
      </c>
      <c r="L184">
        <v>0.33</v>
      </c>
      <c r="M184">
        <v>0.67</v>
      </c>
      <c r="N184">
        <v>0</v>
      </c>
      <c r="O184">
        <v>0</v>
      </c>
      <c r="P184">
        <v>0.76522000000000001</v>
      </c>
      <c r="Q184">
        <v>9.5613299999999999</v>
      </c>
      <c r="R184">
        <v>0.66808999999999996</v>
      </c>
      <c r="S184">
        <v>0.33</v>
      </c>
      <c r="T184">
        <v>0.57879999999999998</v>
      </c>
      <c r="U184">
        <v>0</v>
      </c>
      <c r="V184">
        <v>0</v>
      </c>
      <c r="W184">
        <v>0</v>
      </c>
      <c r="X184">
        <v>9.7995199999999993</v>
      </c>
      <c r="Y184">
        <v>0.82504999999999995</v>
      </c>
      <c r="Z184">
        <v>0.33</v>
      </c>
      <c r="AA184">
        <v>0</v>
      </c>
      <c r="AB184">
        <v>0</v>
      </c>
      <c r="AC184">
        <v>0</v>
      </c>
      <c r="AD184">
        <v>0.57526999999999995</v>
      </c>
      <c r="AF184">
        <v>0.09</v>
      </c>
      <c r="AG184">
        <v>228901</v>
      </c>
      <c r="AH184">
        <v>0</v>
      </c>
      <c r="AI184">
        <v>0</v>
      </c>
      <c r="AJ184">
        <v>0</v>
      </c>
      <c r="AK184">
        <v>0</v>
      </c>
      <c r="AL184">
        <v>0.09</v>
      </c>
      <c r="AM184">
        <v>223365</v>
      </c>
      <c r="AN184">
        <v>0</v>
      </c>
      <c r="AO184">
        <v>0</v>
      </c>
      <c r="AP184">
        <v>0.01</v>
      </c>
      <c r="AQ184">
        <v>24818</v>
      </c>
      <c r="AR184">
        <v>0.09</v>
      </c>
      <c r="AS184">
        <v>200502</v>
      </c>
      <c r="AT184">
        <v>0</v>
      </c>
      <c r="AU184">
        <v>0</v>
      </c>
      <c r="AV184">
        <v>0</v>
      </c>
      <c r="AW184">
        <v>0</v>
      </c>
      <c r="BA184">
        <v>4203</v>
      </c>
      <c r="BB184" t="s">
        <v>378</v>
      </c>
      <c r="BC184">
        <v>754.3</v>
      </c>
      <c r="BD184">
        <v>737</v>
      </c>
    </row>
    <row r="185" spans="1:56" x14ac:dyDescent="0.25">
      <c r="A185">
        <v>4086</v>
      </c>
      <c r="B185" t="s">
        <v>374</v>
      </c>
      <c r="C185">
        <v>15.032679999999999</v>
      </c>
      <c r="D185">
        <v>0.65337000000000001</v>
      </c>
      <c r="E185">
        <v>0.33</v>
      </c>
      <c r="F185">
        <v>0.23080000000000001</v>
      </c>
      <c r="G185">
        <v>0</v>
      </c>
      <c r="H185">
        <v>0</v>
      </c>
      <c r="I185">
        <v>2.16805</v>
      </c>
      <c r="J185">
        <v>13.85432</v>
      </c>
      <c r="K185">
        <v>0.72814999999999996</v>
      </c>
      <c r="L185">
        <v>0.33</v>
      </c>
      <c r="M185">
        <v>0.27546999999999999</v>
      </c>
      <c r="N185">
        <v>0</v>
      </c>
      <c r="O185">
        <v>0</v>
      </c>
      <c r="P185">
        <v>2.2705199999999999</v>
      </c>
      <c r="Q185">
        <v>13.513210000000001</v>
      </c>
      <c r="R185">
        <v>0.60757000000000005</v>
      </c>
      <c r="S185">
        <v>0.33</v>
      </c>
      <c r="T185">
        <v>0.28465000000000001</v>
      </c>
      <c r="U185">
        <v>0</v>
      </c>
      <c r="V185">
        <v>0</v>
      </c>
      <c r="W185">
        <v>2.3267199999999999</v>
      </c>
      <c r="X185">
        <v>13.59714</v>
      </c>
      <c r="Y185">
        <v>0.64239000000000002</v>
      </c>
      <c r="Z185">
        <v>0.33</v>
      </c>
      <c r="AA185">
        <v>0.25441000000000003</v>
      </c>
      <c r="AB185">
        <v>0</v>
      </c>
      <c r="AC185">
        <v>0</v>
      </c>
      <c r="AD185">
        <v>2.1354700000000002</v>
      </c>
      <c r="AF185">
        <v>0</v>
      </c>
      <c r="AG185">
        <v>0</v>
      </c>
      <c r="AH185">
        <v>0</v>
      </c>
      <c r="AI185">
        <v>0</v>
      </c>
      <c r="AJ185">
        <v>0.04</v>
      </c>
      <c r="AK185">
        <v>451102</v>
      </c>
      <c r="AL185">
        <v>0</v>
      </c>
      <c r="AM185">
        <v>0</v>
      </c>
      <c r="AN185">
        <v>0</v>
      </c>
      <c r="AO185">
        <v>0</v>
      </c>
      <c r="AP185">
        <v>0.04</v>
      </c>
      <c r="AQ185">
        <v>430082</v>
      </c>
      <c r="AR185">
        <v>0</v>
      </c>
      <c r="AS185">
        <v>0</v>
      </c>
      <c r="AT185">
        <v>0</v>
      </c>
      <c r="AU185">
        <v>0</v>
      </c>
      <c r="AV185">
        <v>0.04</v>
      </c>
      <c r="AW185">
        <v>426353</v>
      </c>
      <c r="BA185">
        <v>4212</v>
      </c>
      <c r="BB185" t="s">
        <v>379</v>
      </c>
      <c r="BC185">
        <v>315</v>
      </c>
      <c r="BD185">
        <v>314</v>
      </c>
    </row>
    <row r="186" spans="1:56" x14ac:dyDescent="0.25">
      <c r="A186">
        <v>4104</v>
      </c>
      <c r="B186" t="s">
        <v>375</v>
      </c>
      <c r="C186">
        <v>15.721679999999999</v>
      </c>
      <c r="D186">
        <v>1.29332</v>
      </c>
      <c r="E186">
        <v>0.33</v>
      </c>
      <c r="F186">
        <v>0.67</v>
      </c>
      <c r="G186">
        <v>0.13500000000000001</v>
      </c>
      <c r="H186">
        <v>0</v>
      </c>
      <c r="I186">
        <v>0</v>
      </c>
      <c r="J186">
        <v>15.148339999999999</v>
      </c>
      <c r="K186">
        <v>1.246</v>
      </c>
      <c r="L186">
        <v>0.33</v>
      </c>
      <c r="M186">
        <v>0.67</v>
      </c>
      <c r="N186">
        <v>0.13500000000000001</v>
      </c>
      <c r="O186">
        <v>0</v>
      </c>
      <c r="P186">
        <v>0</v>
      </c>
      <c r="Q186">
        <v>15.13008</v>
      </c>
      <c r="R186">
        <v>1.2771600000000001</v>
      </c>
      <c r="S186">
        <v>0.33</v>
      </c>
      <c r="T186">
        <v>0.67</v>
      </c>
      <c r="U186">
        <v>0.13500000000000001</v>
      </c>
      <c r="V186">
        <v>0</v>
      </c>
      <c r="W186">
        <v>0</v>
      </c>
      <c r="X186">
        <v>15.02829</v>
      </c>
      <c r="Y186">
        <v>1.48874</v>
      </c>
      <c r="Z186">
        <v>0.33</v>
      </c>
      <c r="AA186">
        <v>0.67</v>
      </c>
      <c r="AB186">
        <v>0.13500000000000001</v>
      </c>
      <c r="AC186">
        <v>0</v>
      </c>
      <c r="AD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BA186">
        <v>4419</v>
      </c>
      <c r="BB186" t="s">
        <v>611</v>
      </c>
      <c r="BC186">
        <v>797.1</v>
      </c>
      <c r="BD186">
        <v>794.2</v>
      </c>
    </row>
    <row r="187" spans="1:56" x14ac:dyDescent="0.25">
      <c r="A187">
        <v>4122</v>
      </c>
      <c r="B187" t="s">
        <v>376</v>
      </c>
      <c r="C187">
        <v>11.388019999999999</v>
      </c>
      <c r="D187">
        <v>0.93220000000000003</v>
      </c>
      <c r="E187">
        <v>0.33</v>
      </c>
      <c r="F187">
        <v>0.67</v>
      </c>
      <c r="G187">
        <v>0</v>
      </c>
      <c r="H187">
        <v>0</v>
      </c>
      <c r="I187">
        <v>3.9461499999999998</v>
      </c>
      <c r="J187">
        <v>11.475759999999999</v>
      </c>
      <c r="K187">
        <v>0.88027999999999995</v>
      </c>
      <c r="L187">
        <v>0.33</v>
      </c>
      <c r="M187">
        <v>0.67</v>
      </c>
      <c r="N187">
        <v>0</v>
      </c>
      <c r="O187">
        <v>0</v>
      </c>
      <c r="P187">
        <v>3.9732500000000002</v>
      </c>
      <c r="Q187">
        <v>11.10961</v>
      </c>
      <c r="R187">
        <v>1.32552</v>
      </c>
      <c r="S187">
        <v>0.33</v>
      </c>
      <c r="T187">
        <v>0.67</v>
      </c>
      <c r="U187">
        <v>0</v>
      </c>
      <c r="V187">
        <v>0</v>
      </c>
      <c r="W187">
        <v>4.0160200000000001</v>
      </c>
      <c r="X187">
        <v>15.29724</v>
      </c>
      <c r="Y187">
        <v>0.65547</v>
      </c>
      <c r="Z187">
        <v>0.33</v>
      </c>
      <c r="AA187">
        <v>0.67</v>
      </c>
      <c r="AB187">
        <v>0</v>
      </c>
      <c r="AC187">
        <v>0</v>
      </c>
      <c r="AD187">
        <v>1.7777400000000001</v>
      </c>
      <c r="AF187">
        <v>0.01</v>
      </c>
      <c r="AG187">
        <v>25544</v>
      </c>
      <c r="AH187">
        <v>0</v>
      </c>
      <c r="AI187">
        <v>0</v>
      </c>
      <c r="AJ187">
        <v>0</v>
      </c>
      <c r="AK187">
        <v>0</v>
      </c>
      <c r="AL187">
        <v>0.01</v>
      </c>
      <c r="AM187">
        <v>24426</v>
      </c>
      <c r="AN187">
        <v>0</v>
      </c>
      <c r="AO187">
        <v>0</v>
      </c>
      <c r="AP187">
        <v>0</v>
      </c>
      <c r="AQ187">
        <v>0</v>
      </c>
      <c r="AR187">
        <v>0.09</v>
      </c>
      <c r="AS187">
        <v>215166</v>
      </c>
      <c r="AT187">
        <v>0</v>
      </c>
      <c r="AU187">
        <v>0</v>
      </c>
      <c r="AV187">
        <v>0</v>
      </c>
      <c r="AW187">
        <v>0</v>
      </c>
      <c r="BA187">
        <v>4269</v>
      </c>
      <c r="BB187" t="s">
        <v>381</v>
      </c>
      <c r="BC187">
        <v>555</v>
      </c>
      <c r="BD187">
        <v>554</v>
      </c>
    </row>
    <row r="188" spans="1:56" x14ac:dyDescent="0.25">
      <c r="A188">
        <v>4131</v>
      </c>
      <c r="B188" t="s">
        <v>377</v>
      </c>
      <c r="C188">
        <v>11.3271</v>
      </c>
      <c r="D188">
        <v>0.87119000000000002</v>
      </c>
      <c r="E188">
        <v>0.33</v>
      </c>
      <c r="F188">
        <v>0.67</v>
      </c>
      <c r="G188">
        <v>0</v>
      </c>
      <c r="H188">
        <v>0</v>
      </c>
      <c r="I188">
        <v>0</v>
      </c>
      <c r="J188">
        <v>10.280110000000001</v>
      </c>
      <c r="K188">
        <v>0.43642999999999998</v>
      </c>
      <c r="L188">
        <v>0.33</v>
      </c>
      <c r="M188">
        <v>0</v>
      </c>
      <c r="N188">
        <v>0</v>
      </c>
      <c r="O188">
        <v>0</v>
      </c>
      <c r="P188">
        <v>0</v>
      </c>
      <c r="Q188">
        <v>11.648059999999999</v>
      </c>
      <c r="R188">
        <v>1.3391299999999999</v>
      </c>
      <c r="S188">
        <v>0.33</v>
      </c>
      <c r="T188">
        <v>0</v>
      </c>
      <c r="U188">
        <v>0</v>
      </c>
      <c r="V188">
        <v>0</v>
      </c>
      <c r="W188">
        <v>0</v>
      </c>
      <c r="X188">
        <v>14.040179999999999</v>
      </c>
      <c r="Y188">
        <v>0.74017999999999995</v>
      </c>
      <c r="Z188">
        <v>0.33</v>
      </c>
      <c r="AA188">
        <v>0</v>
      </c>
      <c r="AB188">
        <v>0</v>
      </c>
      <c r="AC188">
        <v>0</v>
      </c>
      <c r="AD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BA188">
        <v>4271</v>
      </c>
      <c r="BB188" t="s">
        <v>382</v>
      </c>
      <c r="BC188">
        <v>1222.5</v>
      </c>
      <c r="BD188">
        <v>1246</v>
      </c>
    </row>
    <row r="189" spans="1:56" x14ac:dyDescent="0.25">
      <c r="A189">
        <v>4149</v>
      </c>
      <c r="B189" t="s">
        <v>384</v>
      </c>
      <c r="C189">
        <v>9.5989699999999996</v>
      </c>
      <c r="D189">
        <v>0.51012999999999997</v>
      </c>
      <c r="E189">
        <v>0.33</v>
      </c>
      <c r="F189">
        <v>0</v>
      </c>
      <c r="G189">
        <v>0</v>
      </c>
      <c r="H189">
        <v>0</v>
      </c>
      <c r="I189">
        <v>0</v>
      </c>
      <c r="J189">
        <v>10.03988</v>
      </c>
      <c r="K189">
        <v>0.54629000000000005</v>
      </c>
      <c r="L189">
        <v>0.33</v>
      </c>
      <c r="M189">
        <v>0</v>
      </c>
      <c r="N189">
        <v>0</v>
      </c>
      <c r="O189">
        <v>0</v>
      </c>
      <c r="P189">
        <v>0</v>
      </c>
      <c r="Q189">
        <v>10.695819999999999</v>
      </c>
      <c r="R189">
        <v>0.69738999999999995</v>
      </c>
      <c r="S189">
        <v>0.33</v>
      </c>
      <c r="T189">
        <v>0</v>
      </c>
      <c r="U189">
        <v>0</v>
      </c>
      <c r="V189">
        <v>0</v>
      </c>
      <c r="W189">
        <v>0</v>
      </c>
      <c r="X189">
        <v>10.724220000000001</v>
      </c>
      <c r="Y189">
        <v>0.64010999999999996</v>
      </c>
      <c r="Z189">
        <v>0.33</v>
      </c>
      <c r="AA189">
        <v>0</v>
      </c>
      <c r="AB189">
        <v>0</v>
      </c>
      <c r="AC189">
        <v>0</v>
      </c>
      <c r="AD189">
        <v>0</v>
      </c>
      <c r="AF189">
        <v>0.06</v>
      </c>
      <c r="AG189">
        <v>564765</v>
      </c>
      <c r="AH189">
        <v>0</v>
      </c>
      <c r="AI189">
        <v>0</v>
      </c>
      <c r="AJ189">
        <v>0</v>
      </c>
      <c r="AK189">
        <v>0</v>
      </c>
      <c r="AL189">
        <v>7.0000000000000007E-2</v>
      </c>
      <c r="AM189">
        <v>647060</v>
      </c>
      <c r="AN189">
        <v>0</v>
      </c>
      <c r="AO189">
        <v>0</v>
      </c>
      <c r="AP189">
        <v>0</v>
      </c>
      <c r="AQ189">
        <v>0</v>
      </c>
      <c r="AR189">
        <v>7.0000000000000007E-2</v>
      </c>
      <c r="AS189">
        <v>565216</v>
      </c>
      <c r="AT189">
        <v>0</v>
      </c>
      <c r="AU189">
        <v>0</v>
      </c>
      <c r="AV189">
        <v>0</v>
      </c>
      <c r="AW189">
        <v>0</v>
      </c>
      <c r="BA189">
        <v>4356</v>
      </c>
      <c r="BB189" t="s">
        <v>383</v>
      </c>
      <c r="BC189">
        <v>877</v>
      </c>
      <c r="BD189">
        <v>859.2</v>
      </c>
    </row>
    <row r="190" spans="1:56" x14ac:dyDescent="0.25">
      <c r="A190">
        <v>4203</v>
      </c>
      <c r="B190" t="s">
        <v>378</v>
      </c>
      <c r="C190">
        <v>9.3185300000000009</v>
      </c>
      <c r="D190">
        <v>1.0661700000000001</v>
      </c>
      <c r="E190">
        <v>0.33</v>
      </c>
      <c r="F190">
        <v>6.5439999999999998E-2</v>
      </c>
      <c r="G190">
        <v>0</v>
      </c>
      <c r="H190">
        <v>0</v>
      </c>
      <c r="I190">
        <v>0</v>
      </c>
      <c r="J190">
        <v>12.00601</v>
      </c>
      <c r="K190">
        <v>0.59253999999999996</v>
      </c>
      <c r="L190">
        <v>0.33</v>
      </c>
      <c r="M190">
        <v>0.22322</v>
      </c>
      <c r="N190">
        <v>0</v>
      </c>
      <c r="O190">
        <v>0</v>
      </c>
      <c r="P190">
        <v>0</v>
      </c>
      <c r="Q190">
        <v>11.06104</v>
      </c>
      <c r="R190">
        <v>0.69521999999999995</v>
      </c>
      <c r="S190">
        <v>0.33</v>
      </c>
      <c r="T190">
        <v>0.22833000000000001</v>
      </c>
      <c r="U190">
        <v>0</v>
      </c>
      <c r="V190">
        <v>0</v>
      </c>
      <c r="W190">
        <v>0</v>
      </c>
      <c r="X190">
        <v>11.29566</v>
      </c>
      <c r="Y190">
        <v>0.62883</v>
      </c>
      <c r="Z190">
        <v>0.33</v>
      </c>
      <c r="AA190">
        <v>0.22509000000000001</v>
      </c>
      <c r="AB190">
        <v>0</v>
      </c>
      <c r="AC190">
        <v>0</v>
      </c>
      <c r="AD190">
        <v>0</v>
      </c>
      <c r="AF190">
        <v>0.04</v>
      </c>
      <c r="AG190">
        <v>160944</v>
      </c>
      <c r="AH190">
        <v>0</v>
      </c>
      <c r="AI190">
        <v>0</v>
      </c>
      <c r="AJ190">
        <v>0.03</v>
      </c>
      <c r="AK190">
        <v>120708</v>
      </c>
      <c r="AL190">
        <v>0.04</v>
      </c>
      <c r="AM190">
        <v>152530</v>
      </c>
      <c r="AN190">
        <v>0</v>
      </c>
      <c r="AO190">
        <v>0</v>
      </c>
      <c r="AP190">
        <v>0.03</v>
      </c>
      <c r="AQ190">
        <v>114398</v>
      </c>
      <c r="AR190">
        <v>0.04</v>
      </c>
      <c r="AS190">
        <v>154753</v>
      </c>
      <c r="AT190">
        <v>0</v>
      </c>
      <c r="AU190">
        <v>0</v>
      </c>
      <c r="AV190">
        <v>0.03</v>
      </c>
      <c r="AW190">
        <v>116065</v>
      </c>
      <c r="BA190">
        <v>4149</v>
      </c>
      <c r="BB190" t="s">
        <v>384</v>
      </c>
      <c r="BC190">
        <v>1343.3</v>
      </c>
      <c r="BD190">
        <v>1377.3</v>
      </c>
    </row>
    <row r="191" spans="1:56" x14ac:dyDescent="0.25">
      <c r="A191">
        <v>4212</v>
      </c>
      <c r="B191" t="s">
        <v>379</v>
      </c>
      <c r="C191">
        <v>15.372109999999999</v>
      </c>
      <c r="D191">
        <v>1.2577100000000001</v>
      </c>
      <c r="E191">
        <v>0.33</v>
      </c>
      <c r="F191">
        <v>0</v>
      </c>
      <c r="G191">
        <v>0</v>
      </c>
      <c r="H191">
        <v>0</v>
      </c>
      <c r="I191">
        <v>2.5535600000000001</v>
      </c>
      <c r="J191">
        <v>15.362120000000001</v>
      </c>
      <c r="K191">
        <v>1.238</v>
      </c>
      <c r="L191">
        <v>0.33</v>
      </c>
      <c r="M191">
        <v>0</v>
      </c>
      <c r="N191">
        <v>0</v>
      </c>
      <c r="O191">
        <v>0</v>
      </c>
      <c r="P191">
        <v>2.50779</v>
      </c>
      <c r="Q191">
        <v>12.89283</v>
      </c>
      <c r="R191">
        <v>1.1322000000000001</v>
      </c>
      <c r="S191">
        <v>0.33</v>
      </c>
      <c r="T191">
        <v>0</v>
      </c>
      <c r="U191">
        <v>0</v>
      </c>
      <c r="V191">
        <v>0</v>
      </c>
      <c r="W191">
        <v>2.6117400000000002</v>
      </c>
      <c r="X191">
        <v>16.496269999999999</v>
      </c>
      <c r="Y191">
        <v>1.10937</v>
      </c>
      <c r="Z191">
        <v>0.33</v>
      </c>
      <c r="AA191">
        <v>0</v>
      </c>
      <c r="AB191">
        <v>0</v>
      </c>
      <c r="AC191">
        <v>0</v>
      </c>
      <c r="AD191">
        <v>1.6612199999999999</v>
      </c>
      <c r="AF191">
        <v>0.01</v>
      </c>
      <c r="AG191">
        <v>10258</v>
      </c>
      <c r="AH191">
        <v>0</v>
      </c>
      <c r="AI191">
        <v>0</v>
      </c>
      <c r="AJ191">
        <v>0</v>
      </c>
      <c r="AK191">
        <v>0</v>
      </c>
      <c r="AL191">
        <v>0.01</v>
      </c>
      <c r="AM191">
        <v>10046</v>
      </c>
      <c r="AN191">
        <v>0</v>
      </c>
      <c r="AO191">
        <v>0</v>
      </c>
      <c r="AP191">
        <v>0</v>
      </c>
      <c r="AQ191">
        <v>0</v>
      </c>
      <c r="AR191">
        <v>0.11</v>
      </c>
      <c r="AS191">
        <v>108913</v>
      </c>
      <c r="AT191">
        <v>0</v>
      </c>
      <c r="AU191">
        <v>0</v>
      </c>
      <c r="AV191">
        <v>0</v>
      </c>
      <c r="AW191">
        <v>0</v>
      </c>
      <c r="BA191">
        <v>4437</v>
      </c>
      <c r="BB191" t="s">
        <v>385</v>
      </c>
      <c r="BC191">
        <v>528.1</v>
      </c>
      <c r="BD191">
        <v>550.9</v>
      </c>
    </row>
    <row r="192" spans="1:56" x14ac:dyDescent="0.25">
      <c r="A192">
        <v>4269</v>
      </c>
      <c r="B192" t="s">
        <v>381</v>
      </c>
      <c r="C192">
        <v>8.3402700000000003</v>
      </c>
      <c r="D192">
        <v>0.93049000000000004</v>
      </c>
      <c r="E192">
        <v>0.33</v>
      </c>
      <c r="F192">
        <v>0.56201999999999996</v>
      </c>
      <c r="G192">
        <v>0</v>
      </c>
      <c r="H192">
        <v>0</v>
      </c>
      <c r="I192">
        <v>0</v>
      </c>
      <c r="J192">
        <v>8.1896000000000004</v>
      </c>
      <c r="K192">
        <v>1.0186500000000001</v>
      </c>
      <c r="L192">
        <v>0.33</v>
      </c>
      <c r="M192">
        <v>0.46822999999999998</v>
      </c>
      <c r="N192">
        <v>0</v>
      </c>
      <c r="O192">
        <v>0</v>
      </c>
      <c r="P192">
        <v>0</v>
      </c>
      <c r="Q192">
        <v>8.7059599999999993</v>
      </c>
      <c r="R192">
        <v>0.93213000000000001</v>
      </c>
      <c r="S192">
        <v>0.33</v>
      </c>
      <c r="T192">
        <v>0.67</v>
      </c>
      <c r="U192">
        <v>0</v>
      </c>
      <c r="V192">
        <v>0</v>
      </c>
      <c r="W192">
        <v>0</v>
      </c>
      <c r="X192">
        <v>11.873329999999999</v>
      </c>
      <c r="Y192">
        <v>0.35528999999999999</v>
      </c>
      <c r="Z192">
        <v>0.33</v>
      </c>
      <c r="AA192">
        <v>0.67</v>
      </c>
      <c r="AB192">
        <v>0</v>
      </c>
      <c r="AC192">
        <v>0</v>
      </c>
      <c r="AD192">
        <v>0</v>
      </c>
      <c r="AF192">
        <v>0.12</v>
      </c>
      <c r="AG192">
        <v>267398</v>
      </c>
      <c r="AH192">
        <v>0</v>
      </c>
      <c r="AI192">
        <v>0</v>
      </c>
      <c r="AJ192">
        <v>0.02</v>
      </c>
      <c r="AK192">
        <v>44566</v>
      </c>
      <c r="AL192">
        <v>0.12</v>
      </c>
      <c r="AM192">
        <v>265718</v>
      </c>
      <c r="AN192">
        <v>0</v>
      </c>
      <c r="AO192">
        <v>0</v>
      </c>
      <c r="AP192">
        <v>0</v>
      </c>
      <c r="AQ192">
        <v>0</v>
      </c>
      <c r="AR192">
        <v>0.13</v>
      </c>
      <c r="AS192">
        <v>268393</v>
      </c>
      <c r="AT192">
        <v>0</v>
      </c>
      <c r="AU192">
        <v>0</v>
      </c>
      <c r="AV192">
        <v>0</v>
      </c>
      <c r="AW192">
        <v>0</v>
      </c>
      <c r="BA192">
        <v>4446</v>
      </c>
      <c r="BB192" t="s">
        <v>386</v>
      </c>
      <c r="BC192">
        <v>1015.5</v>
      </c>
      <c r="BD192">
        <v>1020.6</v>
      </c>
    </row>
    <row r="193" spans="1:56" x14ac:dyDescent="0.25">
      <c r="A193">
        <v>4271</v>
      </c>
      <c r="B193" t="s">
        <v>382</v>
      </c>
      <c r="C193">
        <v>9.1896000000000004</v>
      </c>
      <c r="D193">
        <v>0.52742</v>
      </c>
      <c r="E193">
        <v>0.33</v>
      </c>
      <c r="F193">
        <v>0.17866000000000001</v>
      </c>
      <c r="G193">
        <v>0</v>
      </c>
      <c r="H193">
        <v>0</v>
      </c>
      <c r="I193">
        <v>2.13</v>
      </c>
      <c r="J193">
        <v>9.4157100000000007</v>
      </c>
      <c r="K193">
        <v>0.37129000000000001</v>
      </c>
      <c r="L193">
        <v>0.33</v>
      </c>
      <c r="M193">
        <v>0.31156</v>
      </c>
      <c r="N193">
        <v>0</v>
      </c>
      <c r="O193">
        <v>0</v>
      </c>
      <c r="P193">
        <v>1.4779199999999999</v>
      </c>
      <c r="Q193">
        <v>9.5040899999999997</v>
      </c>
      <c r="R193">
        <v>1.03844</v>
      </c>
      <c r="S193">
        <v>0.33</v>
      </c>
      <c r="T193">
        <v>0.29033999999999999</v>
      </c>
      <c r="U193">
        <v>0</v>
      </c>
      <c r="V193">
        <v>0</v>
      </c>
      <c r="W193">
        <v>1.05951</v>
      </c>
      <c r="X193">
        <v>12.175990000000001</v>
      </c>
      <c r="Y193">
        <v>5.638E-2</v>
      </c>
      <c r="Z193">
        <v>0.33</v>
      </c>
      <c r="AA193">
        <v>0.29331000000000002</v>
      </c>
      <c r="AB193">
        <v>0</v>
      </c>
      <c r="AC193">
        <v>0</v>
      </c>
      <c r="AD193">
        <v>0.98272999999999999</v>
      </c>
      <c r="AF193">
        <v>0.03</v>
      </c>
      <c r="AG193">
        <v>178038</v>
      </c>
      <c r="AH193">
        <v>0</v>
      </c>
      <c r="AI193">
        <v>0</v>
      </c>
      <c r="AJ193">
        <v>0.06</v>
      </c>
      <c r="AK193">
        <v>356077</v>
      </c>
      <c r="AL193">
        <v>0.04</v>
      </c>
      <c r="AM193">
        <v>231580</v>
      </c>
      <c r="AN193">
        <v>0</v>
      </c>
      <c r="AO193">
        <v>0</v>
      </c>
      <c r="AP193">
        <v>0.06</v>
      </c>
      <c r="AQ193">
        <v>347370</v>
      </c>
      <c r="AR193">
        <v>0.04</v>
      </c>
      <c r="AS193">
        <v>224581</v>
      </c>
      <c r="AT193">
        <v>0</v>
      </c>
      <c r="AU193">
        <v>0</v>
      </c>
      <c r="AV193">
        <v>0.06</v>
      </c>
      <c r="AW193">
        <v>336871</v>
      </c>
      <c r="BA193">
        <v>4491</v>
      </c>
      <c r="BB193" t="s">
        <v>387</v>
      </c>
      <c r="BC193">
        <v>340.5</v>
      </c>
      <c r="BD193">
        <v>352.9</v>
      </c>
    </row>
    <row r="194" spans="1:56" x14ac:dyDescent="0.25">
      <c r="A194">
        <v>4356</v>
      </c>
      <c r="B194" t="s">
        <v>383</v>
      </c>
      <c r="C194">
        <v>12.87387</v>
      </c>
      <c r="D194">
        <v>1.28634</v>
      </c>
      <c r="E194">
        <v>0.33</v>
      </c>
      <c r="F194">
        <v>0.67</v>
      </c>
      <c r="G194">
        <v>0</v>
      </c>
      <c r="H194">
        <v>0</v>
      </c>
      <c r="I194">
        <v>1.17719</v>
      </c>
      <c r="J194">
        <v>12.97894</v>
      </c>
      <c r="K194">
        <v>0.86523000000000005</v>
      </c>
      <c r="L194">
        <v>0.32584000000000002</v>
      </c>
      <c r="M194">
        <v>0.66154999999999997</v>
      </c>
      <c r="N194">
        <v>0</v>
      </c>
      <c r="O194">
        <v>0</v>
      </c>
      <c r="P194">
        <v>1.8284800000000001</v>
      </c>
      <c r="Q194">
        <v>13.671430000000001</v>
      </c>
      <c r="R194">
        <v>0.87312999999999996</v>
      </c>
      <c r="S194">
        <v>0.33</v>
      </c>
      <c r="T194">
        <v>0.67</v>
      </c>
      <c r="U194">
        <v>0</v>
      </c>
      <c r="V194">
        <v>0</v>
      </c>
      <c r="W194">
        <v>1.8674500000000001</v>
      </c>
      <c r="X194">
        <v>13.6121</v>
      </c>
      <c r="Y194">
        <v>0.88900999999999997</v>
      </c>
      <c r="Z194">
        <v>0.33</v>
      </c>
      <c r="AA194">
        <v>0.67</v>
      </c>
      <c r="AB194">
        <v>0</v>
      </c>
      <c r="AC194">
        <v>0</v>
      </c>
      <c r="AD194">
        <v>1.9837899999999999</v>
      </c>
      <c r="AF194">
        <v>7.0000000000000007E-2</v>
      </c>
      <c r="AG194">
        <v>263574</v>
      </c>
      <c r="AH194">
        <v>0</v>
      </c>
      <c r="AI194">
        <v>0</v>
      </c>
      <c r="AJ194">
        <v>0</v>
      </c>
      <c r="AK194">
        <v>0</v>
      </c>
      <c r="AL194">
        <v>7.0000000000000007E-2</v>
      </c>
      <c r="AM194">
        <v>268204</v>
      </c>
      <c r="AN194">
        <v>0</v>
      </c>
      <c r="AO194">
        <v>0</v>
      </c>
      <c r="AP194">
        <v>0</v>
      </c>
      <c r="AQ194">
        <v>0</v>
      </c>
      <c r="AR194">
        <v>7.0000000000000007E-2</v>
      </c>
      <c r="AS194">
        <v>276087</v>
      </c>
      <c r="AT194">
        <v>0</v>
      </c>
      <c r="AU194">
        <v>0</v>
      </c>
      <c r="AV194">
        <v>0</v>
      </c>
      <c r="AW194">
        <v>0</v>
      </c>
      <c r="BA194">
        <v>4505</v>
      </c>
      <c r="BB194" t="s">
        <v>388</v>
      </c>
      <c r="BC194">
        <v>239.4</v>
      </c>
      <c r="BD194">
        <v>249.1</v>
      </c>
    </row>
    <row r="195" spans="1:56" x14ac:dyDescent="0.25">
      <c r="A195">
        <v>4419</v>
      </c>
      <c r="B195" t="s">
        <v>611</v>
      </c>
      <c r="C195">
        <v>15.156079999999999</v>
      </c>
      <c r="D195">
        <v>0</v>
      </c>
      <c r="E195">
        <v>0</v>
      </c>
      <c r="F195">
        <v>4.725E-2</v>
      </c>
      <c r="G195">
        <v>0</v>
      </c>
      <c r="H195">
        <v>0</v>
      </c>
      <c r="I195">
        <v>0</v>
      </c>
      <c r="J195">
        <v>13.198980000000001</v>
      </c>
      <c r="K195">
        <v>0.24318000000000001</v>
      </c>
      <c r="L195">
        <v>0.33</v>
      </c>
      <c r="M195">
        <v>0.78700999999999999</v>
      </c>
      <c r="N195">
        <v>0</v>
      </c>
      <c r="O195">
        <v>0</v>
      </c>
      <c r="P195">
        <v>0</v>
      </c>
      <c r="Q195">
        <v>12.85669</v>
      </c>
      <c r="R195">
        <v>1.26387</v>
      </c>
      <c r="S195">
        <v>0.33</v>
      </c>
      <c r="T195">
        <v>0.74056999999999995</v>
      </c>
      <c r="U195">
        <v>0</v>
      </c>
      <c r="V195">
        <v>0</v>
      </c>
      <c r="W195">
        <v>0</v>
      </c>
      <c r="X195">
        <v>13.019450000000001</v>
      </c>
      <c r="Y195">
        <v>1.14493</v>
      </c>
      <c r="Z195">
        <v>0.32862000000000002</v>
      </c>
      <c r="AA195">
        <v>0.77390999999999999</v>
      </c>
      <c r="AB195">
        <v>0</v>
      </c>
      <c r="AC195">
        <v>0</v>
      </c>
      <c r="AD195">
        <v>0</v>
      </c>
      <c r="AF195">
        <v>0.04</v>
      </c>
      <c r="AG195">
        <v>139065</v>
      </c>
      <c r="AH195">
        <v>0</v>
      </c>
      <c r="AI195">
        <v>0</v>
      </c>
      <c r="AJ195">
        <v>0.04</v>
      </c>
      <c r="AK195">
        <v>139065</v>
      </c>
      <c r="AL195">
        <v>0.04</v>
      </c>
      <c r="AM195">
        <v>145962</v>
      </c>
      <c r="AN195">
        <v>0</v>
      </c>
      <c r="AO195">
        <v>0</v>
      </c>
      <c r="AP195">
        <v>0.04</v>
      </c>
      <c r="AQ195">
        <v>145962</v>
      </c>
      <c r="AR195">
        <v>0.04</v>
      </c>
      <c r="AS195">
        <v>135637</v>
      </c>
      <c r="AT195">
        <v>0</v>
      </c>
      <c r="AU195">
        <v>0</v>
      </c>
      <c r="AV195">
        <v>0.04</v>
      </c>
      <c r="AW195">
        <v>135637</v>
      </c>
      <c r="BA195">
        <v>4509</v>
      </c>
      <c r="BB195" t="s">
        <v>389</v>
      </c>
      <c r="BC195">
        <v>220.1</v>
      </c>
      <c r="BD195">
        <v>221</v>
      </c>
    </row>
    <row r="196" spans="1:56" x14ac:dyDescent="0.25">
      <c r="A196">
        <v>4437</v>
      </c>
      <c r="B196" t="s">
        <v>385</v>
      </c>
      <c r="C196">
        <v>8.2057699999999993</v>
      </c>
      <c r="D196">
        <v>0.48057</v>
      </c>
      <c r="E196">
        <v>0.33</v>
      </c>
      <c r="F196">
        <v>0</v>
      </c>
      <c r="G196">
        <v>0</v>
      </c>
      <c r="H196">
        <v>0</v>
      </c>
      <c r="I196">
        <v>1.6055299999999999</v>
      </c>
      <c r="J196">
        <v>8.0850600000000004</v>
      </c>
      <c r="K196">
        <v>0.48531000000000002</v>
      </c>
      <c r="L196">
        <v>0.33</v>
      </c>
      <c r="M196">
        <v>0</v>
      </c>
      <c r="N196">
        <v>0</v>
      </c>
      <c r="O196">
        <v>0</v>
      </c>
      <c r="P196">
        <v>1.62334</v>
      </c>
      <c r="Q196">
        <v>8.3832199999999997</v>
      </c>
      <c r="R196">
        <v>0.20122000000000001</v>
      </c>
      <c r="S196">
        <v>0.33</v>
      </c>
      <c r="T196">
        <v>0</v>
      </c>
      <c r="U196">
        <v>0</v>
      </c>
      <c r="V196">
        <v>0</v>
      </c>
      <c r="W196">
        <v>1.95</v>
      </c>
      <c r="X196">
        <v>10.39184</v>
      </c>
      <c r="Y196">
        <v>0.42759000000000003</v>
      </c>
      <c r="Z196">
        <v>0.33</v>
      </c>
      <c r="AA196">
        <v>0</v>
      </c>
      <c r="AB196">
        <v>0</v>
      </c>
      <c r="AC196">
        <v>0</v>
      </c>
      <c r="AD196">
        <v>0</v>
      </c>
      <c r="AF196">
        <v>0.09</v>
      </c>
      <c r="AG196">
        <v>265859</v>
      </c>
      <c r="AH196">
        <v>0</v>
      </c>
      <c r="AI196">
        <v>0</v>
      </c>
      <c r="AJ196">
        <v>0</v>
      </c>
      <c r="AK196">
        <v>0</v>
      </c>
      <c r="AL196">
        <v>0.09</v>
      </c>
      <c r="AM196">
        <v>259060</v>
      </c>
      <c r="AN196">
        <v>0</v>
      </c>
      <c r="AO196">
        <v>0</v>
      </c>
      <c r="AP196">
        <v>0</v>
      </c>
      <c r="AQ196">
        <v>0</v>
      </c>
      <c r="AR196">
        <v>0.09</v>
      </c>
      <c r="AS196">
        <v>246162</v>
      </c>
      <c r="AT196">
        <v>0</v>
      </c>
      <c r="AU196">
        <v>0</v>
      </c>
      <c r="AV196">
        <v>0</v>
      </c>
      <c r="AW196">
        <v>0</v>
      </c>
      <c r="BA196">
        <v>4518</v>
      </c>
      <c r="BB196" t="s">
        <v>390</v>
      </c>
      <c r="BC196">
        <v>224</v>
      </c>
      <c r="BD196">
        <v>231.9</v>
      </c>
    </row>
    <row r="197" spans="1:56" x14ac:dyDescent="0.25">
      <c r="A197">
        <v>4446</v>
      </c>
      <c r="B197" t="s">
        <v>386</v>
      </c>
      <c r="C197">
        <v>11.996259999999999</v>
      </c>
      <c r="D197">
        <v>1.2737700000000001</v>
      </c>
      <c r="E197">
        <v>0.33</v>
      </c>
      <c r="F197">
        <v>0.67</v>
      </c>
      <c r="G197">
        <v>0</v>
      </c>
      <c r="H197">
        <v>0</v>
      </c>
      <c r="I197">
        <v>0</v>
      </c>
      <c r="J197">
        <v>12.29476</v>
      </c>
      <c r="K197">
        <v>1.0785899999999999</v>
      </c>
      <c r="L197">
        <v>0.33</v>
      </c>
      <c r="M197">
        <v>0.67</v>
      </c>
      <c r="N197">
        <v>0</v>
      </c>
      <c r="O197">
        <v>0</v>
      </c>
      <c r="P197">
        <v>0</v>
      </c>
      <c r="Q197">
        <v>12.13794</v>
      </c>
      <c r="R197">
        <v>0.83689999999999998</v>
      </c>
      <c r="S197">
        <v>0.33</v>
      </c>
      <c r="T197">
        <v>0.67</v>
      </c>
      <c r="U197">
        <v>0</v>
      </c>
      <c r="V197">
        <v>0</v>
      </c>
      <c r="W197">
        <v>0</v>
      </c>
      <c r="X197">
        <v>10.95565</v>
      </c>
      <c r="Y197">
        <v>0.97862000000000005</v>
      </c>
      <c r="Z197">
        <v>0.33</v>
      </c>
      <c r="AA197">
        <v>0.67</v>
      </c>
      <c r="AB197">
        <v>0</v>
      </c>
      <c r="AC197">
        <v>0</v>
      </c>
      <c r="AD197">
        <v>7.6090000000000005E-2</v>
      </c>
      <c r="AF197">
        <v>0.05</v>
      </c>
      <c r="AG197">
        <v>255041</v>
      </c>
      <c r="AH197">
        <v>0</v>
      </c>
      <c r="AI197">
        <v>0</v>
      </c>
      <c r="AJ197">
        <v>0</v>
      </c>
      <c r="AK197">
        <v>0</v>
      </c>
      <c r="AL197">
        <v>0.05</v>
      </c>
      <c r="AM197">
        <v>247619</v>
      </c>
      <c r="AN197">
        <v>0</v>
      </c>
      <c r="AO197">
        <v>0</v>
      </c>
      <c r="AP197">
        <v>0</v>
      </c>
      <c r="AQ197">
        <v>0</v>
      </c>
      <c r="AR197">
        <v>0.05</v>
      </c>
      <c r="AS197">
        <v>242679</v>
      </c>
      <c r="AT197">
        <v>0</v>
      </c>
      <c r="AU197">
        <v>0</v>
      </c>
      <c r="AV197">
        <v>0</v>
      </c>
      <c r="AW197">
        <v>0</v>
      </c>
      <c r="BA197">
        <v>4527</v>
      </c>
      <c r="BB197" t="s">
        <v>391</v>
      </c>
      <c r="BC197">
        <v>617</v>
      </c>
      <c r="BD197">
        <v>610.4</v>
      </c>
    </row>
    <row r="198" spans="1:56" x14ac:dyDescent="0.25">
      <c r="A198">
        <v>4491</v>
      </c>
      <c r="B198" t="s">
        <v>387</v>
      </c>
      <c r="C198">
        <v>11.8049</v>
      </c>
      <c r="D198">
        <v>0.87787000000000004</v>
      </c>
      <c r="E198">
        <v>0.33</v>
      </c>
      <c r="F198">
        <v>0</v>
      </c>
      <c r="G198">
        <v>0</v>
      </c>
      <c r="H198">
        <v>0</v>
      </c>
      <c r="I198">
        <v>1.8687800000000001</v>
      </c>
      <c r="J198">
        <v>12.17536</v>
      </c>
      <c r="K198">
        <v>0.66932999999999998</v>
      </c>
      <c r="L198">
        <v>0.33</v>
      </c>
      <c r="M198">
        <v>0</v>
      </c>
      <c r="N198">
        <v>0</v>
      </c>
      <c r="O198">
        <v>0</v>
      </c>
      <c r="P198">
        <v>1.8104499999999999</v>
      </c>
      <c r="Q198">
        <v>13.754619999999999</v>
      </c>
      <c r="R198">
        <v>0.28582000000000002</v>
      </c>
      <c r="S198">
        <v>0.33</v>
      </c>
      <c r="T198">
        <v>0</v>
      </c>
      <c r="U198">
        <v>0</v>
      </c>
      <c r="V198">
        <v>0</v>
      </c>
      <c r="W198">
        <v>0.64678000000000002</v>
      </c>
      <c r="X198">
        <v>12.48739</v>
      </c>
      <c r="Y198">
        <v>0.87331000000000003</v>
      </c>
      <c r="Z198">
        <v>0.33</v>
      </c>
      <c r="AA198">
        <v>0</v>
      </c>
      <c r="AB198">
        <v>0</v>
      </c>
      <c r="AC198">
        <v>0</v>
      </c>
      <c r="AD198">
        <v>1.11463</v>
      </c>
      <c r="AF198">
        <v>0.12</v>
      </c>
      <c r="AG198">
        <v>124623</v>
      </c>
      <c r="AH198">
        <v>0</v>
      </c>
      <c r="AI198">
        <v>0</v>
      </c>
      <c r="AJ198">
        <v>0</v>
      </c>
      <c r="AK198">
        <v>0</v>
      </c>
      <c r="AL198">
        <v>0.12</v>
      </c>
      <c r="AM198">
        <v>130433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BA198">
        <v>4536</v>
      </c>
      <c r="BB198" t="s">
        <v>392</v>
      </c>
      <c r="BC198">
        <v>2028.7</v>
      </c>
      <c r="BD198">
        <v>1964.9</v>
      </c>
    </row>
    <row r="199" spans="1:56" x14ac:dyDescent="0.25">
      <c r="A199">
        <v>4505</v>
      </c>
      <c r="B199" t="s">
        <v>388</v>
      </c>
      <c r="C199">
        <v>11.8908</v>
      </c>
      <c r="D199">
        <v>0.97567999999999999</v>
      </c>
      <c r="E199">
        <v>0.33</v>
      </c>
      <c r="F199">
        <v>0.67</v>
      </c>
      <c r="G199">
        <v>0</v>
      </c>
      <c r="H199">
        <v>0</v>
      </c>
      <c r="I199">
        <v>0</v>
      </c>
      <c r="J199">
        <v>10.94234</v>
      </c>
      <c r="K199">
        <v>0.94286000000000003</v>
      </c>
      <c r="L199">
        <v>0.33</v>
      </c>
      <c r="M199">
        <v>0.66998999999999997</v>
      </c>
      <c r="N199">
        <v>0</v>
      </c>
      <c r="O199">
        <v>0</v>
      </c>
      <c r="P199">
        <v>1.8084</v>
      </c>
      <c r="Q199">
        <v>12.413740000000001</v>
      </c>
      <c r="R199">
        <v>1.30874</v>
      </c>
      <c r="S199">
        <v>0.33</v>
      </c>
      <c r="T199">
        <v>0.67</v>
      </c>
      <c r="U199">
        <v>0</v>
      </c>
      <c r="V199">
        <v>0</v>
      </c>
      <c r="W199">
        <v>1.76681</v>
      </c>
      <c r="X199">
        <v>15.120050000000001</v>
      </c>
      <c r="Y199">
        <v>0.63922999999999996</v>
      </c>
      <c r="Z199">
        <v>0.32996999999999999</v>
      </c>
      <c r="AA199">
        <v>0.67</v>
      </c>
      <c r="AB199">
        <v>0</v>
      </c>
      <c r="AC199">
        <v>0</v>
      </c>
      <c r="AD199">
        <v>3.49E-3</v>
      </c>
      <c r="AF199">
        <v>0.02</v>
      </c>
      <c r="AG199">
        <v>16563</v>
      </c>
      <c r="AH199">
        <v>0</v>
      </c>
      <c r="AI199">
        <v>0</v>
      </c>
      <c r="AJ199">
        <v>0</v>
      </c>
      <c r="AK199">
        <v>0</v>
      </c>
      <c r="AL199">
        <v>0.12</v>
      </c>
      <c r="AM199">
        <v>111057</v>
      </c>
      <c r="AN199">
        <v>0</v>
      </c>
      <c r="AO199">
        <v>0</v>
      </c>
      <c r="AP199">
        <v>0</v>
      </c>
      <c r="AQ199">
        <v>0</v>
      </c>
      <c r="AR199">
        <v>0.13</v>
      </c>
      <c r="AS199">
        <v>116672</v>
      </c>
      <c r="AT199">
        <v>0</v>
      </c>
      <c r="AU199">
        <v>0</v>
      </c>
      <c r="AV199">
        <v>0</v>
      </c>
      <c r="AW199">
        <v>0</v>
      </c>
      <c r="BA199">
        <v>4554</v>
      </c>
      <c r="BB199" t="s">
        <v>393</v>
      </c>
      <c r="BC199">
        <v>1064.0999999999999</v>
      </c>
      <c r="BD199">
        <v>1095.0999999999999</v>
      </c>
    </row>
    <row r="200" spans="1:56" x14ac:dyDescent="0.25">
      <c r="A200">
        <v>4509</v>
      </c>
      <c r="B200" t="s">
        <v>389</v>
      </c>
      <c r="C200">
        <v>15.76383</v>
      </c>
      <c r="D200">
        <v>0.88773000000000002</v>
      </c>
      <c r="E200">
        <v>0.33</v>
      </c>
      <c r="F200">
        <v>0</v>
      </c>
      <c r="G200">
        <v>0</v>
      </c>
      <c r="H200">
        <v>0</v>
      </c>
      <c r="I200">
        <v>0</v>
      </c>
      <c r="J200">
        <v>16.14443</v>
      </c>
      <c r="K200">
        <v>1.38039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16.136800000000001</v>
      </c>
      <c r="R200">
        <v>0.96106000000000003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16.279969999999999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F200">
        <v>7.0000000000000007E-2</v>
      </c>
      <c r="AG200">
        <v>60793</v>
      </c>
      <c r="AH200">
        <v>0</v>
      </c>
      <c r="AI200">
        <v>0</v>
      </c>
      <c r="AJ200">
        <v>0</v>
      </c>
      <c r="AK200">
        <v>0</v>
      </c>
      <c r="AL200">
        <v>7.0000000000000007E-2</v>
      </c>
      <c r="AM200">
        <v>54755</v>
      </c>
      <c r="AN200">
        <v>0</v>
      </c>
      <c r="AO200">
        <v>0</v>
      </c>
      <c r="AP200">
        <v>0</v>
      </c>
      <c r="AQ200">
        <v>0</v>
      </c>
      <c r="AR200">
        <v>7.0000000000000007E-2</v>
      </c>
      <c r="AS200">
        <v>53964</v>
      </c>
      <c r="AT200">
        <v>0</v>
      </c>
      <c r="AU200">
        <v>0</v>
      </c>
      <c r="AV200">
        <v>0</v>
      </c>
      <c r="AW200">
        <v>0</v>
      </c>
      <c r="BA200">
        <v>4572</v>
      </c>
      <c r="BB200" t="s">
        <v>394</v>
      </c>
      <c r="BC200">
        <v>281.5</v>
      </c>
      <c r="BD200">
        <v>270.60000000000002</v>
      </c>
    </row>
    <row r="201" spans="1:56" x14ac:dyDescent="0.25">
      <c r="A201">
        <v>4518</v>
      </c>
      <c r="B201" t="s">
        <v>390</v>
      </c>
      <c r="C201">
        <v>13.796580000000001</v>
      </c>
      <c r="D201">
        <v>1.70085</v>
      </c>
      <c r="E201">
        <v>0.33</v>
      </c>
      <c r="F201">
        <v>0.67</v>
      </c>
      <c r="G201">
        <v>0</v>
      </c>
      <c r="H201">
        <v>0</v>
      </c>
      <c r="I201">
        <v>0</v>
      </c>
      <c r="J201">
        <v>14.73279</v>
      </c>
      <c r="K201">
        <v>0.82571000000000006</v>
      </c>
      <c r="L201">
        <v>0.33</v>
      </c>
      <c r="M201">
        <v>0.67</v>
      </c>
      <c r="N201">
        <v>0</v>
      </c>
      <c r="O201">
        <v>0</v>
      </c>
      <c r="P201">
        <v>0</v>
      </c>
      <c r="Q201">
        <v>15.487590000000001</v>
      </c>
      <c r="R201">
        <v>0.80962000000000001</v>
      </c>
      <c r="S201">
        <v>0.33</v>
      </c>
      <c r="T201">
        <v>0.67</v>
      </c>
      <c r="U201">
        <v>0</v>
      </c>
      <c r="V201">
        <v>0</v>
      </c>
      <c r="W201">
        <v>0</v>
      </c>
      <c r="X201">
        <v>16.10003</v>
      </c>
      <c r="Y201">
        <v>0.58606999999999998</v>
      </c>
      <c r="Z201">
        <v>0.33</v>
      </c>
      <c r="AA201">
        <v>0.67</v>
      </c>
      <c r="AB201">
        <v>0</v>
      </c>
      <c r="AC201">
        <v>0</v>
      </c>
      <c r="AD201">
        <v>0</v>
      </c>
      <c r="AF201">
        <v>0.12</v>
      </c>
      <c r="AG201">
        <v>73543</v>
      </c>
      <c r="AH201">
        <v>0</v>
      </c>
      <c r="AI201">
        <v>0</v>
      </c>
      <c r="AJ201">
        <v>0</v>
      </c>
      <c r="AK201">
        <v>0</v>
      </c>
      <c r="AL201">
        <v>0.12</v>
      </c>
      <c r="AM201">
        <v>65994</v>
      </c>
      <c r="AN201">
        <v>0</v>
      </c>
      <c r="AO201">
        <v>0</v>
      </c>
      <c r="AP201">
        <v>0</v>
      </c>
      <c r="AQ201">
        <v>0</v>
      </c>
      <c r="AR201">
        <v>0.12</v>
      </c>
      <c r="AS201">
        <v>64292</v>
      </c>
      <c r="AT201">
        <v>0</v>
      </c>
      <c r="AU201">
        <v>0</v>
      </c>
      <c r="AV201">
        <v>0</v>
      </c>
      <c r="AW201">
        <v>0</v>
      </c>
      <c r="BA201">
        <v>4581</v>
      </c>
      <c r="BB201" t="s">
        <v>395</v>
      </c>
      <c r="BC201">
        <v>5299.5</v>
      </c>
      <c r="BD201">
        <v>5344.4</v>
      </c>
    </row>
    <row r="202" spans="1:56" x14ac:dyDescent="0.25">
      <c r="A202">
        <v>4527</v>
      </c>
      <c r="B202" t="s">
        <v>391</v>
      </c>
      <c r="C202">
        <v>10.15912</v>
      </c>
      <c r="D202">
        <v>1.2512300000000001</v>
      </c>
      <c r="E202">
        <v>0.33</v>
      </c>
      <c r="F202">
        <v>0</v>
      </c>
      <c r="G202">
        <v>0</v>
      </c>
      <c r="H202">
        <v>0</v>
      </c>
      <c r="I202">
        <v>2.4432499999999999</v>
      </c>
      <c r="J202">
        <v>12.41197</v>
      </c>
      <c r="K202">
        <v>1.1388199999999999</v>
      </c>
      <c r="L202">
        <v>0.33</v>
      </c>
      <c r="M202">
        <v>0</v>
      </c>
      <c r="N202">
        <v>0</v>
      </c>
      <c r="O202">
        <v>0</v>
      </c>
      <c r="P202">
        <v>2.6808100000000001</v>
      </c>
      <c r="Q202">
        <v>12.74625</v>
      </c>
      <c r="R202">
        <v>1.1898899999999999</v>
      </c>
      <c r="S202">
        <v>0.33</v>
      </c>
      <c r="T202">
        <v>0</v>
      </c>
      <c r="U202">
        <v>0</v>
      </c>
      <c r="V202">
        <v>0</v>
      </c>
      <c r="W202">
        <v>2.2955800000000002</v>
      </c>
      <c r="X202">
        <v>13.11543</v>
      </c>
      <c r="Y202">
        <v>0.71403000000000005</v>
      </c>
      <c r="Z202">
        <v>0.33</v>
      </c>
      <c r="AA202">
        <v>0</v>
      </c>
      <c r="AB202">
        <v>0</v>
      </c>
      <c r="AC202">
        <v>0</v>
      </c>
      <c r="AD202">
        <v>2.3133599999999999</v>
      </c>
      <c r="AF202">
        <v>0.06</v>
      </c>
      <c r="AG202">
        <v>131632</v>
      </c>
      <c r="AH202">
        <v>0</v>
      </c>
      <c r="AI202">
        <v>0</v>
      </c>
      <c r="AJ202">
        <v>0</v>
      </c>
      <c r="AK202">
        <v>0</v>
      </c>
      <c r="AL202">
        <v>0.06</v>
      </c>
      <c r="AM202">
        <v>122993</v>
      </c>
      <c r="AN202">
        <v>0</v>
      </c>
      <c r="AO202">
        <v>0</v>
      </c>
      <c r="AP202">
        <v>0</v>
      </c>
      <c r="AQ202">
        <v>0</v>
      </c>
      <c r="AR202">
        <v>0.06</v>
      </c>
      <c r="AS202">
        <v>126939</v>
      </c>
      <c r="AT202">
        <v>0</v>
      </c>
      <c r="AU202">
        <v>0</v>
      </c>
      <c r="AV202">
        <v>0</v>
      </c>
      <c r="AW202">
        <v>0</v>
      </c>
      <c r="BA202">
        <v>4599</v>
      </c>
      <c r="BB202" t="s">
        <v>396</v>
      </c>
      <c r="BC202">
        <v>652.4</v>
      </c>
      <c r="BD202">
        <v>646.4</v>
      </c>
    </row>
    <row r="203" spans="1:56" x14ac:dyDescent="0.25">
      <c r="A203">
        <v>4536</v>
      </c>
      <c r="B203" t="s">
        <v>392</v>
      </c>
      <c r="C203">
        <v>11.2379</v>
      </c>
      <c r="D203">
        <v>0.47467999999999999</v>
      </c>
      <c r="E203">
        <v>0.33</v>
      </c>
      <c r="F203">
        <v>0.26</v>
      </c>
      <c r="G203">
        <v>0</v>
      </c>
      <c r="H203">
        <v>0</v>
      </c>
      <c r="I203">
        <v>1.6927700000000001</v>
      </c>
      <c r="J203">
        <v>11.336460000000001</v>
      </c>
      <c r="K203">
        <v>0.55079</v>
      </c>
      <c r="L203">
        <v>0.33</v>
      </c>
      <c r="M203">
        <v>0</v>
      </c>
      <c r="N203">
        <v>0</v>
      </c>
      <c r="O203">
        <v>0</v>
      </c>
      <c r="P203">
        <v>1.65574</v>
      </c>
      <c r="Q203">
        <v>11.88941</v>
      </c>
      <c r="R203">
        <v>0.62180999999999997</v>
      </c>
      <c r="S203">
        <v>0.10147</v>
      </c>
      <c r="T203">
        <v>0</v>
      </c>
      <c r="U203">
        <v>0</v>
      </c>
      <c r="V203">
        <v>0</v>
      </c>
      <c r="W203">
        <v>1.6851799999999999</v>
      </c>
      <c r="X203">
        <v>11.752219999999999</v>
      </c>
      <c r="Y203">
        <v>0.70523000000000002</v>
      </c>
      <c r="Z203">
        <v>0</v>
      </c>
      <c r="AA203">
        <v>7.0000000000000007E-2</v>
      </c>
      <c r="AB203">
        <v>0</v>
      </c>
      <c r="AC203">
        <v>0</v>
      </c>
      <c r="AD203">
        <v>1.73186</v>
      </c>
      <c r="AF203">
        <v>0.05</v>
      </c>
      <c r="AG203">
        <v>436153</v>
      </c>
      <c r="AH203">
        <v>0</v>
      </c>
      <c r="AI203">
        <v>0</v>
      </c>
      <c r="AJ203">
        <v>0</v>
      </c>
      <c r="AK203">
        <v>0</v>
      </c>
      <c r="AL203">
        <v>0.05</v>
      </c>
      <c r="AM203">
        <v>416171</v>
      </c>
      <c r="AN203">
        <v>0</v>
      </c>
      <c r="AO203">
        <v>0</v>
      </c>
      <c r="AP203">
        <v>0</v>
      </c>
      <c r="AQ203">
        <v>0</v>
      </c>
      <c r="AR203">
        <v>0.05</v>
      </c>
      <c r="AS203">
        <v>402195</v>
      </c>
      <c r="AT203">
        <v>0</v>
      </c>
      <c r="AU203">
        <v>0</v>
      </c>
      <c r="AV203">
        <v>0</v>
      </c>
      <c r="AW203">
        <v>0</v>
      </c>
      <c r="BA203">
        <v>4617</v>
      </c>
      <c r="BB203" t="s">
        <v>397</v>
      </c>
      <c r="BC203">
        <v>1505.5</v>
      </c>
      <c r="BD203">
        <v>1547.8</v>
      </c>
    </row>
    <row r="204" spans="1:56" x14ac:dyDescent="0.25">
      <c r="A204">
        <v>4554</v>
      </c>
      <c r="B204" t="s">
        <v>393</v>
      </c>
      <c r="C204">
        <v>13.03332</v>
      </c>
      <c r="D204">
        <v>1.0116700000000001</v>
      </c>
      <c r="E204">
        <v>0.33</v>
      </c>
      <c r="F204">
        <v>1.34</v>
      </c>
      <c r="G204">
        <v>0.13500000000000001</v>
      </c>
      <c r="H204">
        <v>0</v>
      </c>
      <c r="I204">
        <v>2.1228699999999998</v>
      </c>
      <c r="J204">
        <v>11.579459999999999</v>
      </c>
      <c r="K204">
        <v>1.58491</v>
      </c>
      <c r="L204">
        <v>0.33</v>
      </c>
      <c r="M204">
        <v>1.34</v>
      </c>
      <c r="N204">
        <v>0</v>
      </c>
      <c r="O204">
        <v>0</v>
      </c>
      <c r="P204">
        <v>2.54541</v>
      </c>
      <c r="Q204">
        <v>12.36787</v>
      </c>
      <c r="R204">
        <v>1.01319</v>
      </c>
      <c r="S204">
        <v>0.33</v>
      </c>
      <c r="T204">
        <v>1.34</v>
      </c>
      <c r="U204">
        <v>0</v>
      </c>
      <c r="V204">
        <v>0</v>
      </c>
      <c r="W204">
        <v>2.6716199999999999</v>
      </c>
      <c r="X204">
        <v>13.353870000000001</v>
      </c>
      <c r="Y204">
        <v>1.14089</v>
      </c>
      <c r="Z204">
        <v>0.33</v>
      </c>
      <c r="AA204">
        <v>1.34</v>
      </c>
      <c r="AB204">
        <v>0</v>
      </c>
      <c r="AC204">
        <v>0</v>
      </c>
      <c r="AD204">
        <v>2.8164400000000001</v>
      </c>
      <c r="AF204">
        <v>0.06</v>
      </c>
      <c r="AG204">
        <v>395160</v>
      </c>
      <c r="AH204">
        <v>0</v>
      </c>
      <c r="AI204">
        <v>0</v>
      </c>
      <c r="AJ204">
        <v>0</v>
      </c>
      <c r="AK204">
        <v>0</v>
      </c>
      <c r="AL204">
        <v>0.06</v>
      </c>
      <c r="AM204">
        <v>378679</v>
      </c>
      <c r="AN204">
        <v>0</v>
      </c>
      <c r="AO204">
        <v>0</v>
      </c>
      <c r="AP204">
        <v>0</v>
      </c>
      <c r="AQ204">
        <v>0</v>
      </c>
      <c r="AR204">
        <v>0.06</v>
      </c>
      <c r="AS204">
        <v>365070</v>
      </c>
      <c r="AT204">
        <v>0</v>
      </c>
      <c r="AU204">
        <v>0</v>
      </c>
      <c r="AV204">
        <v>0</v>
      </c>
      <c r="AW204">
        <v>0</v>
      </c>
      <c r="BA204">
        <v>4662</v>
      </c>
      <c r="BB204" t="s">
        <v>398</v>
      </c>
      <c r="BC204">
        <v>1003.1</v>
      </c>
      <c r="BD204">
        <v>982.1</v>
      </c>
    </row>
    <row r="205" spans="1:56" x14ac:dyDescent="0.25">
      <c r="A205">
        <v>4572</v>
      </c>
      <c r="B205" t="s">
        <v>394</v>
      </c>
      <c r="C205">
        <v>10.68576</v>
      </c>
      <c r="D205">
        <v>0.85670000000000002</v>
      </c>
      <c r="E205">
        <v>0.33</v>
      </c>
      <c r="F205">
        <v>0</v>
      </c>
      <c r="G205">
        <v>0</v>
      </c>
      <c r="H205">
        <v>0</v>
      </c>
      <c r="I205">
        <v>2.24065</v>
      </c>
      <c r="J205">
        <v>9.7118900000000004</v>
      </c>
      <c r="K205">
        <v>0.82959000000000005</v>
      </c>
      <c r="L205">
        <v>0.33</v>
      </c>
      <c r="M205">
        <v>0</v>
      </c>
      <c r="N205">
        <v>0</v>
      </c>
      <c r="O205">
        <v>0</v>
      </c>
      <c r="P205">
        <v>2.7</v>
      </c>
      <c r="Q205">
        <v>10.78185</v>
      </c>
      <c r="R205">
        <v>1.71479</v>
      </c>
      <c r="S205">
        <v>0.33</v>
      </c>
      <c r="T205">
        <v>0</v>
      </c>
      <c r="U205">
        <v>0</v>
      </c>
      <c r="V205">
        <v>0</v>
      </c>
      <c r="W205">
        <v>8.0420000000000005E-2</v>
      </c>
      <c r="X205">
        <v>14.18582</v>
      </c>
      <c r="Y205">
        <v>0</v>
      </c>
      <c r="Z205">
        <v>0.33</v>
      </c>
      <c r="AA205">
        <v>0</v>
      </c>
      <c r="AB205">
        <v>0</v>
      </c>
      <c r="AC205">
        <v>0</v>
      </c>
      <c r="AD205">
        <v>0.44506000000000001</v>
      </c>
      <c r="AF205">
        <v>0.15</v>
      </c>
      <c r="AG205">
        <v>107048</v>
      </c>
      <c r="AH205">
        <v>0</v>
      </c>
      <c r="AI205">
        <v>0</v>
      </c>
      <c r="AJ205">
        <v>0</v>
      </c>
      <c r="AK205">
        <v>0</v>
      </c>
      <c r="AL205">
        <v>0.15</v>
      </c>
      <c r="AM205">
        <v>103912</v>
      </c>
      <c r="AN205">
        <v>0</v>
      </c>
      <c r="AO205">
        <v>0</v>
      </c>
      <c r="AP205">
        <v>0</v>
      </c>
      <c r="AQ205">
        <v>0</v>
      </c>
      <c r="AR205">
        <v>0.15</v>
      </c>
      <c r="AS205">
        <v>104923</v>
      </c>
      <c r="AT205">
        <v>0</v>
      </c>
      <c r="AU205">
        <v>0</v>
      </c>
      <c r="AV205">
        <v>0</v>
      </c>
      <c r="AW205">
        <v>0</v>
      </c>
      <c r="BA205">
        <v>4689</v>
      </c>
      <c r="BB205" t="s">
        <v>399</v>
      </c>
      <c r="BC205">
        <v>521.70000000000005</v>
      </c>
      <c r="BD205">
        <v>525.70000000000005</v>
      </c>
    </row>
    <row r="206" spans="1:56" x14ac:dyDescent="0.25">
      <c r="A206">
        <v>4581</v>
      </c>
      <c r="B206" t="s">
        <v>395</v>
      </c>
      <c r="C206">
        <v>13.147080000000001</v>
      </c>
      <c r="D206">
        <v>1.04897</v>
      </c>
      <c r="E206">
        <v>0.33</v>
      </c>
      <c r="F206">
        <v>0.9</v>
      </c>
      <c r="G206">
        <v>0</v>
      </c>
      <c r="H206">
        <v>0</v>
      </c>
      <c r="I206">
        <v>0</v>
      </c>
      <c r="J206">
        <v>13.626469999999999</v>
      </c>
      <c r="K206">
        <v>0.41949999999999998</v>
      </c>
      <c r="L206">
        <v>0.33</v>
      </c>
      <c r="M206">
        <v>0.9</v>
      </c>
      <c r="N206">
        <v>0</v>
      </c>
      <c r="O206">
        <v>0</v>
      </c>
      <c r="P206">
        <v>0</v>
      </c>
      <c r="Q206">
        <v>13.199339999999999</v>
      </c>
      <c r="R206">
        <v>1.0241100000000001</v>
      </c>
      <c r="S206">
        <v>0.33</v>
      </c>
      <c r="T206">
        <v>0.8</v>
      </c>
      <c r="U206">
        <v>0</v>
      </c>
      <c r="V206">
        <v>0</v>
      </c>
      <c r="W206">
        <v>0</v>
      </c>
      <c r="X206">
        <v>12.955579999999999</v>
      </c>
      <c r="Y206">
        <v>1.27634</v>
      </c>
      <c r="Z206">
        <v>0.33</v>
      </c>
      <c r="AA206">
        <v>0.8</v>
      </c>
      <c r="AB206">
        <v>0</v>
      </c>
      <c r="AC206">
        <v>0</v>
      </c>
      <c r="AD206">
        <v>0</v>
      </c>
      <c r="AF206">
        <v>0.01</v>
      </c>
      <c r="AG206">
        <v>252332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BA206">
        <v>4644</v>
      </c>
      <c r="BB206" t="s">
        <v>400</v>
      </c>
      <c r="BC206">
        <v>456.2</v>
      </c>
      <c r="BD206">
        <v>480.7</v>
      </c>
    </row>
    <row r="207" spans="1:56" x14ac:dyDescent="0.25">
      <c r="A207">
        <v>4599</v>
      </c>
      <c r="B207" t="s">
        <v>396</v>
      </c>
      <c r="C207">
        <v>9.4381500000000003</v>
      </c>
      <c r="D207">
        <v>1.0332699999999999</v>
      </c>
      <c r="E207">
        <v>0</v>
      </c>
      <c r="F207">
        <v>0.67</v>
      </c>
      <c r="G207">
        <v>0</v>
      </c>
      <c r="H207">
        <v>0</v>
      </c>
      <c r="I207">
        <v>0</v>
      </c>
      <c r="J207">
        <v>10.11924</v>
      </c>
      <c r="K207">
        <v>1.09423</v>
      </c>
      <c r="L207">
        <v>0</v>
      </c>
      <c r="M207">
        <v>0.67</v>
      </c>
      <c r="N207">
        <v>0</v>
      </c>
      <c r="O207">
        <v>0</v>
      </c>
      <c r="P207">
        <v>0</v>
      </c>
      <c r="Q207">
        <v>11.303520000000001</v>
      </c>
      <c r="R207">
        <v>0.97228999999999999</v>
      </c>
      <c r="S207">
        <v>0</v>
      </c>
      <c r="T207">
        <v>0.67</v>
      </c>
      <c r="U207">
        <v>0</v>
      </c>
      <c r="V207">
        <v>0</v>
      </c>
      <c r="W207">
        <v>0</v>
      </c>
      <c r="X207">
        <v>11.55531</v>
      </c>
      <c r="Y207">
        <v>0.75541000000000003</v>
      </c>
      <c r="Z207">
        <v>0</v>
      </c>
      <c r="AA207">
        <v>0.67</v>
      </c>
      <c r="AB207">
        <v>0</v>
      </c>
      <c r="AC207">
        <v>0</v>
      </c>
      <c r="AD207">
        <v>0</v>
      </c>
      <c r="AF207">
        <v>0.1</v>
      </c>
      <c r="AG207">
        <v>302126</v>
      </c>
      <c r="AH207">
        <v>0</v>
      </c>
      <c r="AI207">
        <v>0</v>
      </c>
      <c r="AJ207">
        <v>0</v>
      </c>
      <c r="AK207">
        <v>0</v>
      </c>
      <c r="AL207">
        <v>0.11</v>
      </c>
      <c r="AM207">
        <v>305874</v>
      </c>
      <c r="AN207">
        <v>0</v>
      </c>
      <c r="AO207">
        <v>0</v>
      </c>
      <c r="AP207">
        <v>0</v>
      </c>
      <c r="AQ207">
        <v>0</v>
      </c>
      <c r="AR207">
        <v>0.11</v>
      </c>
      <c r="AS207">
        <v>297276</v>
      </c>
      <c r="AT207">
        <v>0</v>
      </c>
      <c r="AU207">
        <v>0</v>
      </c>
      <c r="AV207">
        <v>0</v>
      </c>
      <c r="AW207">
        <v>0</v>
      </c>
      <c r="BA207">
        <v>4725</v>
      </c>
      <c r="BB207" t="s">
        <v>401</v>
      </c>
      <c r="BC207">
        <v>3005.9</v>
      </c>
      <c r="BD207">
        <v>3002.7</v>
      </c>
    </row>
    <row r="208" spans="1:56" x14ac:dyDescent="0.25">
      <c r="A208">
        <v>4617</v>
      </c>
      <c r="B208" t="s">
        <v>397</v>
      </c>
      <c r="C208">
        <v>12.757720000000001</v>
      </c>
      <c r="D208">
        <v>1.0261199999999999</v>
      </c>
      <c r="E208">
        <v>0.33</v>
      </c>
      <c r="F208">
        <v>0.67</v>
      </c>
      <c r="G208">
        <v>0</v>
      </c>
      <c r="H208">
        <v>0</v>
      </c>
      <c r="I208">
        <v>1.96787</v>
      </c>
      <c r="J208">
        <v>11.971830000000001</v>
      </c>
      <c r="K208">
        <v>0.68945000000000001</v>
      </c>
      <c r="L208">
        <v>0.33</v>
      </c>
      <c r="M208">
        <v>0.67</v>
      </c>
      <c r="N208">
        <v>0</v>
      </c>
      <c r="O208">
        <v>0</v>
      </c>
      <c r="P208">
        <v>2.0487199999999999</v>
      </c>
      <c r="Q208">
        <v>12.24324</v>
      </c>
      <c r="R208">
        <v>0.21145</v>
      </c>
      <c r="S208">
        <v>0.33</v>
      </c>
      <c r="T208">
        <v>0.67</v>
      </c>
      <c r="U208">
        <v>0</v>
      </c>
      <c r="V208">
        <v>0</v>
      </c>
      <c r="W208">
        <v>2.1605799999999999</v>
      </c>
      <c r="X208">
        <v>12.185409999999999</v>
      </c>
      <c r="Y208">
        <v>1.2787599999999999</v>
      </c>
      <c r="Z208">
        <v>0.33</v>
      </c>
      <c r="AA208">
        <v>0.67</v>
      </c>
      <c r="AB208">
        <v>0</v>
      </c>
      <c r="AC208">
        <v>0</v>
      </c>
      <c r="AD208">
        <v>1.1497200000000001</v>
      </c>
      <c r="AF208">
        <v>0.05</v>
      </c>
      <c r="AG208">
        <v>390103</v>
      </c>
      <c r="AH208">
        <v>0</v>
      </c>
      <c r="AI208">
        <v>0</v>
      </c>
      <c r="AJ208">
        <v>0</v>
      </c>
      <c r="AK208">
        <v>0</v>
      </c>
      <c r="AL208">
        <v>0.05</v>
      </c>
      <c r="AM208">
        <v>383508</v>
      </c>
      <c r="AN208">
        <v>0</v>
      </c>
      <c r="AO208">
        <v>0</v>
      </c>
      <c r="AP208">
        <v>0</v>
      </c>
      <c r="AQ208">
        <v>0</v>
      </c>
      <c r="AR208">
        <v>0.05</v>
      </c>
      <c r="AS208">
        <v>393191</v>
      </c>
      <c r="AT208">
        <v>0</v>
      </c>
      <c r="AU208">
        <v>0</v>
      </c>
      <c r="AV208">
        <v>0</v>
      </c>
      <c r="AW208">
        <v>0</v>
      </c>
      <c r="BA208">
        <v>2673</v>
      </c>
      <c r="BB208" t="s">
        <v>604</v>
      </c>
      <c r="BC208">
        <v>672.2</v>
      </c>
      <c r="BD208">
        <v>677.3</v>
      </c>
    </row>
    <row r="209" spans="1:56" x14ac:dyDescent="0.25">
      <c r="A209">
        <v>4644</v>
      </c>
      <c r="B209" t="s">
        <v>400</v>
      </c>
      <c r="C209">
        <v>8.3290400000000009</v>
      </c>
      <c r="D209">
        <v>0.98458000000000001</v>
      </c>
      <c r="E209">
        <v>0.33</v>
      </c>
      <c r="F209">
        <v>0.44500000000000001</v>
      </c>
      <c r="G209">
        <v>0</v>
      </c>
      <c r="H209">
        <v>0</v>
      </c>
      <c r="I209">
        <v>2.23353</v>
      </c>
      <c r="J209">
        <v>8.69909</v>
      </c>
      <c r="K209">
        <v>0.98031999999999997</v>
      </c>
      <c r="L209">
        <v>0.33</v>
      </c>
      <c r="M209">
        <v>0.47499999999999998</v>
      </c>
      <c r="N209">
        <v>0</v>
      </c>
      <c r="O209">
        <v>0</v>
      </c>
      <c r="P209">
        <v>2.3927499999999999</v>
      </c>
      <c r="Q209">
        <v>9.3879800000000007</v>
      </c>
      <c r="R209">
        <v>0.85092000000000001</v>
      </c>
      <c r="S209">
        <v>0.33</v>
      </c>
      <c r="T209">
        <v>0.51500000000000001</v>
      </c>
      <c r="U209">
        <v>0</v>
      </c>
      <c r="V209">
        <v>0</v>
      </c>
      <c r="W209">
        <v>2.6</v>
      </c>
      <c r="X209">
        <v>10.29185</v>
      </c>
      <c r="Y209">
        <v>0.82274999999999998</v>
      </c>
      <c r="Z209">
        <v>0.32967999999999997</v>
      </c>
      <c r="AA209">
        <v>0.55000000000000004</v>
      </c>
      <c r="AB209">
        <v>0</v>
      </c>
      <c r="AC209">
        <v>0</v>
      </c>
      <c r="AD209">
        <v>0</v>
      </c>
      <c r="AF209">
        <v>7.0000000000000007E-2</v>
      </c>
      <c r="AG209">
        <v>146567</v>
      </c>
      <c r="AH209">
        <v>0</v>
      </c>
      <c r="AI209">
        <v>0</v>
      </c>
      <c r="AJ209">
        <v>0</v>
      </c>
      <c r="AK209">
        <v>0</v>
      </c>
      <c r="AL209">
        <v>7.0000000000000007E-2</v>
      </c>
      <c r="AM209">
        <v>131930</v>
      </c>
      <c r="AN209">
        <v>0</v>
      </c>
      <c r="AO209">
        <v>0</v>
      </c>
      <c r="AP209">
        <v>0</v>
      </c>
      <c r="AQ209">
        <v>0</v>
      </c>
      <c r="AR209">
        <v>7.0000000000000007E-2</v>
      </c>
      <c r="AS209">
        <v>128330</v>
      </c>
      <c r="AT209">
        <v>0</v>
      </c>
      <c r="AU209">
        <v>0</v>
      </c>
      <c r="AV209">
        <v>0</v>
      </c>
      <c r="AW209">
        <v>0</v>
      </c>
      <c r="BA209">
        <v>153</v>
      </c>
      <c r="BB209" t="s">
        <v>596</v>
      </c>
      <c r="BC209">
        <v>610</v>
      </c>
      <c r="BD209">
        <v>634.1</v>
      </c>
    </row>
    <row r="210" spans="1:56" x14ac:dyDescent="0.25">
      <c r="A210">
        <v>4662</v>
      </c>
      <c r="B210" t="s">
        <v>398</v>
      </c>
      <c r="C210">
        <v>9.3525200000000002</v>
      </c>
      <c r="D210">
        <v>0.71145999999999998</v>
      </c>
      <c r="E210">
        <v>0.33</v>
      </c>
      <c r="F210">
        <v>0</v>
      </c>
      <c r="G210">
        <v>0</v>
      </c>
      <c r="H210">
        <v>0</v>
      </c>
      <c r="I210">
        <v>0</v>
      </c>
      <c r="J210">
        <v>9.9712200000000006</v>
      </c>
      <c r="K210">
        <v>0.24049999999999999</v>
      </c>
      <c r="L210">
        <v>0.33</v>
      </c>
      <c r="M210">
        <v>0</v>
      </c>
      <c r="N210">
        <v>0</v>
      </c>
      <c r="O210">
        <v>0</v>
      </c>
      <c r="P210">
        <v>0</v>
      </c>
      <c r="Q210">
        <v>9.5953199999999992</v>
      </c>
      <c r="R210">
        <v>0.31330000000000002</v>
      </c>
      <c r="S210">
        <v>0.33</v>
      </c>
      <c r="T210">
        <v>0</v>
      </c>
      <c r="U210">
        <v>0</v>
      </c>
      <c r="V210">
        <v>0</v>
      </c>
      <c r="W210">
        <v>0</v>
      </c>
      <c r="X210">
        <v>9.2726500000000005</v>
      </c>
      <c r="Y210">
        <v>0.46301999999999999</v>
      </c>
      <c r="Z210">
        <v>0.33</v>
      </c>
      <c r="AA210">
        <v>0</v>
      </c>
      <c r="AB210">
        <v>0</v>
      </c>
      <c r="AC210">
        <v>0</v>
      </c>
      <c r="AD210">
        <v>0</v>
      </c>
      <c r="AF210">
        <v>0.08</v>
      </c>
      <c r="AG210">
        <v>486043</v>
      </c>
      <c r="AH210">
        <v>0</v>
      </c>
      <c r="AI210">
        <v>0</v>
      </c>
      <c r="AJ210">
        <v>0</v>
      </c>
      <c r="AK210">
        <v>0</v>
      </c>
      <c r="AL210">
        <v>0.09</v>
      </c>
      <c r="AM210">
        <v>494609</v>
      </c>
      <c r="AN210">
        <v>0</v>
      </c>
      <c r="AO210">
        <v>0</v>
      </c>
      <c r="AP210">
        <v>0</v>
      </c>
      <c r="AQ210">
        <v>0</v>
      </c>
      <c r="AR210">
        <v>0.1</v>
      </c>
      <c r="AS210">
        <v>475103</v>
      </c>
      <c r="AT210">
        <v>0</v>
      </c>
      <c r="AU210">
        <v>0</v>
      </c>
      <c r="AV210">
        <v>0</v>
      </c>
      <c r="AW210">
        <v>0</v>
      </c>
      <c r="BA210">
        <v>3691</v>
      </c>
      <c r="BB210" t="s">
        <v>404</v>
      </c>
      <c r="BC210">
        <v>854.9</v>
      </c>
      <c r="BD210">
        <v>859.8</v>
      </c>
    </row>
    <row r="211" spans="1:56" x14ac:dyDescent="0.25">
      <c r="A211">
        <v>4689</v>
      </c>
      <c r="B211" t="s">
        <v>399</v>
      </c>
      <c r="C211">
        <v>12.477919999999999</v>
      </c>
      <c r="D211">
        <v>1.94174</v>
      </c>
      <c r="E211">
        <v>0.33</v>
      </c>
      <c r="F211">
        <v>0.24775</v>
      </c>
      <c r="G211">
        <v>0.13500000000000001</v>
      </c>
      <c r="H211">
        <v>0</v>
      </c>
      <c r="I211">
        <v>2.6721400000000002</v>
      </c>
      <c r="J211">
        <v>13.05251</v>
      </c>
      <c r="K211">
        <v>1.1691199999999999</v>
      </c>
      <c r="L211">
        <v>0.33</v>
      </c>
      <c r="M211">
        <v>0.26640000000000003</v>
      </c>
      <c r="N211">
        <v>0.13500000000000001</v>
      </c>
      <c r="O211">
        <v>0</v>
      </c>
      <c r="P211">
        <v>0</v>
      </c>
      <c r="Q211">
        <v>15.23901</v>
      </c>
      <c r="R211">
        <v>0.91783000000000003</v>
      </c>
      <c r="S211">
        <v>0.33</v>
      </c>
      <c r="T211">
        <v>0.67</v>
      </c>
      <c r="U211">
        <v>0.13500000000000001</v>
      </c>
      <c r="V211">
        <v>0</v>
      </c>
      <c r="W211">
        <v>0</v>
      </c>
      <c r="X211">
        <v>14.692690000000001</v>
      </c>
      <c r="Y211">
        <v>0.95299</v>
      </c>
      <c r="Z211">
        <v>0.33</v>
      </c>
      <c r="AA211">
        <v>0.24596000000000001</v>
      </c>
      <c r="AB211">
        <v>0.13500000000000001</v>
      </c>
      <c r="AC211">
        <v>0</v>
      </c>
      <c r="AD211">
        <v>0</v>
      </c>
      <c r="AF211">
        <v>7.0000000000000007E-2</v>
      </c>
      <c r="AG211">
        <v>144991</v>
      </c>
      <c r="AH211">
        <v>0</v>
      </c>
      <c r="AI211">
        <v>0</v>
      </c>
      <c r="AJ211">
        <v>0.02</v>
      </c>
      <c r="AK211">
        <v>41426</v>
      </c>
      <c r="AL211">
        <v>7.0000000000000007E-2</v>
      </c>
      <c r="AM211">
        <v>140195</v>
      </c>
      <c r="AN211">
        <v>0</v>
      </c>
      <c r="AO211">
        <v>0</v>
      </c>
      <c r="AP211">
        <v>0</v>
      </c>
      <c r="AQ211">
        <v>0</v>
      </c>
      <c r="AR211">
        <v>7.0000000000000007E-2</v>
      </c>
      <c r="AS211">
        <v>140164</v>
      </c>
      <c r="AT211">
        <v>0</v>
      </c>
      <c r="AU211">
        <v>0</v>
      </c>
      <c r="AV211">
        <v>0.02</v>
      </c>
      <c r="AW211">
        <v>40047</v>
      </c>
      <c r="BA211">
        <v>4774</v>
      </c>
      <c r="BB211" t="s">
        <v>405</v>
      </c>
      <c r="BC211">
        <v>826.5</v>
      </c>
      <c r="BD211">
        <v>833</v>
      </c>
    </row>
    <row r="212" spans="1:56" x14ac:dyDescent="0.25">
      <c r="A212">
        <v>4725</v>
      </c>
      <c r="B212" t="s">
        <v>401</v>
      </c>
      <c r="C212">
        <v>13.57795</v>
      </c>
      <c r="D212">
        <v>0.14523</v>
      </c>
      <c r="E212">
        <v>0.33</v>
      </c>
      <c r="F212">
        <v>0.67</v>
      </c>
      <c r="G212">
        <v>0</v>
      </c>
      <c r="H212">
        <v>0</v>
      </c>
      <c r="I212">
        <v>0</v>
      </c>
      <c r="J212">
        <v>12.656689999999999</v>
      </c>
      <c r="K212">
        <v>1.0021500000000001</v>
      </c>
      <c r="L212">
        <v>0.33</v>
      </c>
      <c r="M212">
        <v>0.67</v>
      </c>
      <c r="N212">
        <v>0</v>
      </c>
      <c r="O212">
        <v>0</v>
      </c>
      <c r="P212">
        <v>0</v>
      </c>
      <c r="Q212">
        <v>13.88101</v>
      </c>
      <c r="R212">
        <v>1.0821799999999999</v>
      </c>
      <c r="S212">
        <v>0.33</v>
      </c>
      <c r="T212">
        <v>0.67</v>
      </c>
      <c r="U212">
        <v>0</v>
      </c>
      <c r="V212">
        <v>0</v>
      </c>
      <c r="W212">
        <v>0</v>
      </c>
      <c r="X212">
        <v>13.50421</v>
      </c>
      <c r="Y212">
        <v>0.90971999999999997</v>
      </c>
      <c r="Z212">
        <v>0.33</v>
      </c>
      <c r="AA212">
        <v>0.67</v>
      </c>
      <c r="AB212">
        <v>0</v>
      </c>
      <c r="AC212">
        <v>0</v>
      </c>
      <c r="AD212">
        <v>0.82374999999999998</v>
      </c>
      <c r="AF212">
        <v>0.03</v>
      </c>
      <c r="AG212">
        <v>446778</v>
      </c>
      <c r="AH212">
        <v>0</v>
      </c>
      <c r="AI212">
        <v>0</v>
      </c>
      <c r="AJ212">
        <v>0</v>
      </c>
      <c r="AK212">
        <v>0</v>
      </c>
      <c r="AL212">
        <v>0.03</v>
      </c>
      <c r="AM212">
        <v>436110</v>
      </c>
      <c r="AN212">
        <v>0</v>
      </c>
      <c r="AO212">
        <v>0</v>
      </c>
      <c r="AP212">
        <v>0</v>
      </c>
      <c r="AQ212">
        <v>0</v>
      </c>
      <c r="AR212">
        <v>0.03</v>
      </c>
      <c r="AS212">
        <v>455387</v>
      </c>
      <c r="AT212">
        <v>0</v>
      </c>
      <c r="AU212">
        <v>0</v>
      </c>
      <c r="AV212">
        <v>0</v>
      </c>
      <c r="AW212">
        <v>0</v>
      </c>
      <c r="BA212">
        <v>873</v>
      </c>
      <c r="BB212" t="s">
        <v>406</v>
      </c>
      <c r="BC212">
        <v>454.8</v>
      </c>
      <c r="BD212">
        <v>462.6</v>
      </c>
    </row>
    <row r="213" spans="1:56" x14ac:dyDescent="0.25">
      <c r="A213">
        <v>4772</v>
      </c>
      <c r="B213" t="s">
        <v>612</v>
      </c>
      <c r="C213">
        <v>9.5100999999999996</v>
      </c>
      <c r="D213">
        <v>0.89464999999999995</v>
      </c>
      <c r="E213">
        <v>0.33</v>
      </c>
      <c r="F213">
        <v>0</v>
      </c>
      <c r="G213">
        <v>0</v>
      </c>
      <c r="H213">
        <v>0</v>
      </c>
      <c r="I213">
        <v>1.4308799999999999</v>
      </c>
      <c r="J213">
        <v>10.744680000000001</v>
      </c>
      <c r="K213">
        <v>0.82828999999999997</v>
      </c>
      <c r="L213">
        <v>0.33</v>
      </c>
      <c r="M213">
        <v>0</v>
      </c>
      <c r="N213">
        <v>0</v>
      </c>
      <c r="O213">
        <v>0</v>
      </c>
      <c r="P213">
        <v>1.42801</v>
      </c>
      <c r="Q213">
        <v>10.91775</v>
      </c>
      <c r="R213">
        <v>0.86285999999999996</v>
      </c>
      <c r="S213">
        <v>0.33</v>
      </c>
      <c r="T213">
        <v>0</v>
      </c>
      <c r="U213">
        <v>0</v>
      </c>
      <c r="V213">
        <v>0</v>
      </c>
      <c r="W213">
        <v>1.4700899999999999</v>
      </c>
      <c r="X213">
        <v>11.784219999999999</v>
      </c>
      <c r="Y213">
        <v>0.96796000000000004</v>
      </c>
      <c r="Z213">
        <v>0.33</v>
      </c>
      <c r="AA213">
        <v>0</v>
      </c>
      <c r="AB213">
        <v>0</v>
      </c>
      <c r="AC213">
        <v>0</v>
      </c>
      <c r="AD213">
        <v>1.5180400000000001</v>
      </c>
      <c r="AF213">
        <v>7.0000000000000007E-2</v>
      </c>
      <c r="AG213">
        <v>264209</v>
      </c>
      <c r="AH213">
        <v>0</v>
      </c>
      <c r="AI213">
        <v>0</v>
      </c>
      <c r="AJ213">
        <v>0</v>
      </c>
      <c r="AK213">
        <v>0</v>
      </c>
      <c r="AL213">
        <v>7.0000000000000007E-2</v>
      </c>
      <c r="AM213">
        <v>260828</v>
      </c>
      <c r="AN213">
        <v>0</v>
      </c>
      <c r="AO213">
        <v>0</v>
      </c>
      <c r="AP213">
        <v>0</v>
      </c>
      <c r="AQ213">
        <v>0</v>
      </c>
      <c r="AR213">
        <v>7.0000000000000007E-2</v>
      </c>
      <c r="AS213">
        <v>270573</v>
      </c>
      <c r="AT213">
        <v>0</v>
      </c>
      <c r="AU213">
        <v>0</v>
      </c>
      <c r="AV213">
        <v>0</v>
      </c>
      <c r="AW213">
        <v>0</v>
      </c>
      <c r="BA213">
        <v>4778</v>
      </c>
      <c r="BB213" t="s">
        <v>407</v>
      </c>
      <c r="BC213">
        <v>301</v>
      </c>
      <c r="BD213">
        <v>287.8</v>
      </c>
    </row>
    <row r="214" spans="1:56" x14ac:dyDescent="0.25">
      <c r="A214">
        <v>4773</v>
      </c>
      <c r="B214" t="s">
        <v>415</v>
      </c>
      <c r="C214">
        <v>9.6536000000000008</v>
      </c>
      <c r="D214">
        <v>1.3526400000000001</v>
      </c>
      <c r="E214">
        <v>0.33</v>
      </c>
      <c r="F214">
        <v>0.67</v>
      </c>
      <c r="G214">
        <v>0</v>
      </c>
      <c r="H214">
        <v>0</v>
      </c>
      <c r="I214">
        <v>2.8215599999999998</v>
      </c>
      <c r="J214">
        <v>9.5574399999999997</v>
      </c>
      <c r="K214">
        <v>1.42588</v>
      </c>
      <c r="L214">
        <v>0.33</v>
      </c>
      <c r="M214">
        <v>0.67</v>
      </c>
      <c r="N214">
        <v>0</v>
      </c>
      <c r="O214">
        <v>0</v>
      </c>
      <c r="P214">
        <v>2.6692399999999998</v>
      </c>
      <c r="Q214">
        <v>10.81635</v>
      </c>
      <c r="R214">
        <v>0.74843999999999999</v>
      </c>
      <c r="S214">
        <v>0.33</v>
      </c>
      <c r="T214">
        <v>0</v>
      </c>
      <c r="U214">
        <v>0</v>
      </c>
      <c r="V214">
        <v>0</v>
      </c>
      <c r="W214">
        <v>3.0338599999999998</v>
      </c>
      <c r="X214">
        <v>12.015309999999999</v>
      </c>
      <c r="Y214">
        <v>0.61309999999999998</v>
      </c>
      <c r="Z214">
        <v>0.33</v>
      </c>
      <c r="AA214">
        <v>0</v>
      </c>
      <c r="AB214">
        <v>0</v>
      </c>
      <c r="AC214">
        <v>0</v>
      </c>
      <c r="AD214">
        <v>2.0274399999999999</v>
      </c>
      <c r="AF214">
        <v>0.11</v>
      </c>
      <c r="AG214">
        <v>250254</v>
      </c>
      <c r="AH214">
        <v>0</v>
      </c>
      <c r="AI214">
        <v>0</v>
      </c>
      <c r="AJ214">
        <v>0</v>
      </c>
      <c r="AK214">
        <v>0</v>
      </c>
      <c r="AL214">
        <v>0.11</v>
      </c>
      <c r="AM214">
        <v>245972</v>
      </c>
      <c r="AN214">
        <v>0</v>
      </c>
      <c r="AO214">
        <v>0</v>
      </c>
      <c r="AP214">
        <v>0</v>
      </c>
      <c r="AQ214">
        <v>0</v>
      </c>
      <c r="AR214">
        <v>0.11</v>
      </c>
      <c r="AS214">
        <v>238562</v>
      </c>
      <c r="AT214">
        <v>0</v>
      </c>
      <c r="AU214">
        <v>0</v>
      </c>
      <c r="AV214">
        <v>0</v>
      </c>
      <c r="AW214">
        <v>0</v>
      </c>
      <c r="BA214">
        <v>4777</v>
      </c>
      <c r="BB214" t="s">
        <v>408</v>
      </c>
      <c r="BC214">
        <v>680.5</v>
      </c>
      <c r="BD214">
        <v>698.2</v>
      </c>
    </row>
    <row r="215" spans="1:56" x14ac:dyDescent="0.25">
      <c r="A215">
        <v>4774</v>
      </c>
      <c r="B215" t="s">
        <v>405</v>
      </c>
      <c r="C215">
        <v>12.319520000000001</v>
      </c>
      <c r="D215">
        <v>0.98782999999999999</v>
      </c>
      <c r="E215">
        <v>0.33</v>
      </c>
      <c r="F215">
        <v>1</v>
      </c>
      <c r="G215">
        <v>0</v>
      </c>
      <c r="H215">
        <v>0</v>
      </c>
      <c r="I215">
        <v>0</v>
      </c>
      <c r="J215">
        <v>12.420669999999999</v>
      </c>
      <c r="K215">
        <v>1.01268</v>
      </c>
      <c r="L215">
        <v>0.33</v>
      </c>
      <c r="M215">
        <v>1</v>
      </c>
      <c r="N215">
        <v>0</v>
      </c>
      <c r="O215">
        <v>0</v>
      </c>
      <c r="P215">
        <v>0</v>
      </c>
      <c r="Q215">
        <v>13.18843</v>
      </c>
      <c r="R215">
        <v>1.2499400000000001</v>
      </c>
      <c r="S215">
        <v>0.33</v>
      </c>
      <c r="T215">
        <v>1</v>
      </c>
      <c r="U215">
        <v>0</v>
      </c>
      <c r="V215">
        <v>0</v>
      </c>
      <c r="W215">
        <v>0</v>
      </c>
      <c r="X215">
        <v>13.1189</v>
      </c>
      <c r="Y215">
        <v>1.5059</v>
      </c>
      <c r="Z215">
        <v>0.33</v>
      </c>
      <c r="AA215">
        <v>1</v>
      </c>
      <c r="AB215">
        <v>0</v>
      </c>
      <c r="AC215">
        <v>0</v>
      </c>
      <c r="AD215">
        <v>0</v>
      </c>
      <c r="AF215">
        <v>0.08</v>
      </c>
      <c r="AG215">
        <v>326642</v>
      </c>
      <c r="AH215">
        <v>0</v>
      </c>
      <c r="AI215">
        <v>0</v>
      </c>
      <c r="AJ215">
        <v>0</v>
      </c>
      <c r="AK215">
        <v>0</v>
      </c>
      <c r="AL215">
        <v>0.08</v>
      </c>
      <c r="AM215">
        <v>301079</v>
      </c>
      <c r="AN215">
        <v>0</v>
      </c>
      <c r="AO215">
        <v>0</v>
      </c>
      <c r="AP215">
        <v>0</v>
      </c>
      <c r="AQ215">
        <v>0</v>
      </c>
      <c r="AR215">
        <v>0.08</v>
      </c>
      <c r="AS215">
        <v>275202</v>
      </c>
      <c r="AT215">
        <v>0</v>
      </c>
      <c r="AU215">
        <v>0</v>
      </c>
      <c r="AV215">
        <v>0</v>
      </c>
      <c r="AW215">
        <v>0</v>
      </c>
      <c r="BA215">
        <v>4776</v>
      </c>
      <c r="BB215" t="s">
        <v>409</v>
      </c>
      <c r="BC215">
        <v>535.4</v>
      </c>
      <c r="BD215">
        <v>492.6</v>
      </c>
    </row>
    <row r="216" spans="1:56" x14ac:dyDescent="0.25">
      <c r="A216">
        <v>4775</v>
      </c>
      <c r="B216" t="s">
        <v>416</v>
      </c>
      <c r="C216">
        <v>7.3207500000000003</v>
      </c>
      <c r="D216">
        <v>0.53412000000000004</v>
      </c>
      <c r="E216">
        <v>0.33</v>
      </c>
      <c r="F216">
        <v>0.69098999999999999</v>
      </c>
      <c r="G216">
        <v>0</v>
      </c>
      <c r="H216">
        <v>0</v>
      </c>
      <c r="I216">
        <v>2.6793800000000001</v>
      </c>
      <c r="J216">
        <v>6.9126500000000002</v>
      </c>
      <c r="K216">
        <v>0.52454000000000001</v>
      </c>
      <c r="L216">
        <v>0.33</v>
      </c>
      <c r="M216">
        <v>0.68877999999999995</v>
      </c>
      <c r="N216">
        <v>0</v>
      </c>
      <c r="O216">
        <v>0</v>
      </c>
      <c r="P216">
        <v>2.6839300000000001</v>
      </c>
      <c r="Q216">
        <v>9.1755499999999994</v>
      </c>
      <c r="R216">
        <v>0.56291000000000002</v>
      </c>
      <c r="S216">
        <v>0.33</v>
      </c>
      <c r="T216">
        <v>0.35561999999999999</v>
      </c>
      <c r="U216">
        <v>0</v>
      </c>
      <c r="V216">
        <v>0</v>
      </c>
      <c r="W216">
        <v>1.07439</v>
      </c>
      <c r="X216">
        <v>11.7643</v>
      </c>
      <c r="Y216">
        <v>0.11923</v>
      </c>
      <c r="Z216">
        <v>0.33</v>
      </c>
      <c r="AA216">
        <v>0.36836000000000002</v>
      </c>
      <c r="AB216">
        <v>0</v>
      </c>
      <c r="AC216">
        <v>0</v>
      </c>
      <c r="AD216">
        <v>0</v>
      </c>
      <c r="AF216">
        <v>0.08</v>
      </c>
      <c r="AG216">
        <v>129184</v>
      </c>
      <c r="AH216">
        <v>0</v>
      </c>
      <c r="AI216">
        <v>0</v>
      </c>
      <c r="AJ216">
        <v>0.01</v>
      </c>
      <c r="AK216">
        <v>16148</v>
      </c>
      <c r="AL216">
        <v>0.09</v>
      </c>
      <c r="AM216">
        <v>113839</v>
      </c>
      <c r="AN216">
        <v>0</v>
      </c>
      <c r="AO216">
        <v>0</v>
      </c>
      <c r="AP216">
        <v>0.06</v>
      </c>
      <c r="AQ216">
        <v>75893</v>
      </c>
      <c r="AR216">
        <v>0.09</v>
      </c>
      <c r="AS216">
        <v>102747</v>
      </c>
      <c r="AT216">
        <v>0</v>
      </c>
      <c r="AU216">
        <v>0</v>
      </c>
      <c r="AV216">
        <v>0.06</v>
      </c>
      <c r="AW216">
        <v>68498</v>
      </c>
      <c r="BA216">
        <v>4779</v>
      </c>
      <c r="BB216" t="s">
        <v>410</v>
      </c>
      <c r="BC216">
        <v>1360.8</v>
      </c>
      <c r="BD216">
        <v>1415.6</v>
      </c>
    </row>
    <row r="217" spans="1:56" x14ac:dyDescent="0.25">
      <c r="A217">
        <v>4776</v>
      </c>
      <c r="B217" t="s">
        <v>409</v>
      </c>
      <c r="C217">
        <v>11.548489999999999</v>
      </c>
      <c r="D217">
        <v>0.9</v>
      </c>
      <c r="E217">
        <v>0.33</v>
      </c>
      <c r="F217">
        <v>0</v>
      </c>
      <c r="G217">
        <v>0</v>
      </c>
      <c r="H217">
        <v>0</v>
      </c>
      <c r="I217">
        <v>0</v>
      </c>
      <c r="J217">
        <v>10.53994</v>
      </c>
      <c r="K217">
        <v>0.69</v>
      </c>
      <c r="L217">
        <v>0.33</v>
      </c>
      <c r="M217">
        <v>0</v>
      </c>
      <c r="N217">
        <v>0</v>
      </c>
      <c r="O217">
        <v>0</v>
      </c>
      <c r="P217">
        <v>0</v>
      </c>
      <c r="Q217">
        <v>10.74217</v>
      </c>
      <c r="R217">
        <v>1.14896</v>
      </c>
      <c r="S217">
        <v>0.33</v>
      </c>
      <c r="T217">
        <v>0</v>
      </c>
      <c r="U217">
        <v>0</v>
      </c>
      <c r="V217">
        <v>0</v>
      </c>
      <c r="W217">
        <v>0</v>
      </c>
      <c r="X217">
        <v>11.601240000000001</v>
      </c>
      <c r="Y217">
        <v>1.07988</v>
      </c>
      <c r="Z217">
        <v>0.33</v>
      </c>
      <c r="AA217">
        <v>0</v>
      </c>
      <c r="AB217">
        <v>0</v>
      </c>
      <c r="AC217">
        <v>0</v>
      </c>
      <c r="AD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BA217">
        <v>4784</v>
      </c>
      <c r="BB217" t="s">
        <v>411</v>
      </c>
      <c r="BC217">
        <v>2978.5</v>
      </c>
      <c r="BD217">
        <v>2948.9</v>
      </c>
    </row>
    <row r="218" spans="1:56" x14ac:dyDescent="0.25">
      <c r="A218">
        <v>4777</v>
      </c>
      <c r="B218" t="s">
        <v>408</v>
      </c>
      <c r="C218">
        <v>12.127190000000001</v>
      </c>
      <c r="D218">
        <v>2.1457600000000001</v>
      </c>
      <c r="E218">
        <v>0.33</v>
      </c>
      <c r="F218">
        <v>0</v>
      </c>
      <c r="G218">
        <v>0</v>
      </c>
      <c r="H218">
        <v>0</v>
      </c>
      <c r="I218">
        <v>2.1746099999999999</v>
      </c>
      <c r="J218">
        <v>10.9869</v>
      </c>
      <c r="K218">
        <v>1.3755599999999999</v>
      </c>
      <c r="L218">
        <v>0.33</v>
      </c>
      <c r="M218">
        <v>0</v>
      </c>
      <c r="N218">
        <v>0</v>
      </c>
      <c r="O218">
        <v>0</v>
      </c>
      <c r="P218">
        <v>2.3508200000000001</v>
      </c>
      <c r="Q218">
        <v>13.327780000000001</v>
      </c>
      <c r="R218">
        <v>0.71979000000000004</v>
      </c>
      <c r="S218">
        <v>0.33</v>
      </c>
      <c r="T218">
        <v>0</v>
      </c>
      <c r="U218">
        <v>0</v>
      </c>
      <c r="V218">
        <v>0</v>
      </c>
      <c r="W218">
        <v>2.4254199999999999</v>
      </c>
      <c r="X218">
        <v>13.79083</v>
      </c>
      <c r="Y218">
        <v>0.56608999999999998</v>
      </c>
      <c r="Z218">
        <v>0.33</v>
      </c>
      <c r="AA218">
        <v>0</v>
      </c>
      <c r="AB218">
        <v>0</v>
      </c>
      <c r="AC218">
        <v>0</v>
      </c>
      <c r="AD218">
        <v>1.7386299999999999</v>
      </c>
      <c r="AF218">
        <v>7.0000000000000007E-2</v>
      </c>
      <c r="AG218">
        <v>205922</v>
      </c>
      <c r="AH218">
        <v>0</v>
      </c>
      <c r="AI218">
        <v>0</v>
      </c>
      <c r="AJ218">
        <v>0</v>
      </c>
      <c r="AK218">
        <v>0</v>
      </c>
      <c r="AL218">
        <v>0.08</v>
      </c>
      <c r="AM218">
        <v>231198</v>
      </c>
      <c r="AN218">
        <v>0</v>
      </c>
      <c r="AO218">
        <v>0</v>
      </c>
      <c r="AP218">
        <v>0</v>
      </c>
      <c r="AQ218">
        <v>0</v>
      </c>
      <c r="AR218">
        <v>0.08</v>
      </c>
      <c r="AS218">
        <v>212752</v>
      </c>
      <c r="AT218">
        <v>0</v>
      </c>
      <c r="AU218">
        <v>0</v>
      </c>
      <c r="AV218">
        <v>0</v>
      </c>
      <c r="AW218">
        <v>0</v>
      </c>
      <c r="BA218">
        <v>4785</v>
      </c>
      <c r="BB218" t="s">
        <v>412</v>
      </c>
      <c r="BC218">
        <v>523.29999999999995</v>
      </c>
      <c r="BD218">
        <v>491.9</v>
      </c>
    </row>
    <row r="219" spans="1:56" x14ac:dyDescent="0.25">
      <c r="A219">
        <v>4778</v>
      </c>
      <c r="B219" t="s">
        <v>407</v>
      </c>
      <c r="C219">
        <v>8.2310300000000005</v>
      </c>
      <c r="D219">
        <v>0.34018999999999999</v>
      </c>
      <c r="E219">
        <v>0.33</v>
      </c>
      <c r="F219">
        <v>0</v>
      </c>
      <c r="G219">
        <v>0</v>
      </c>
      <c r="H219">
        <v>0</v>
      </c>
      <c r="I219">
        <v>0</v>
      </c>
      <c r="J219">
        <v>7.6236499999999996</v>
      </c>
      <c r="K219">
        <v>0.36591000000000001</v>
      </c>
      <c r="L219">
        <v>0.33</v>
      </c>
      <c r="M219">
        <v>0</v>
      </c>
      <c r="N219">
        <v>0</v>
      </c>
      <c r="O219">
        <v>0</v>
      </c>
      <c r="P219">
        <v>0</v>
      </c>
      <c r="Q219">
        <v>8.6090300000000006</v>
      </c>
      <c r="R219">
        <v>0.38801999999999998</v>
      </c>
      <c r="S219">
        <v>0.33</v>
      </c>
      <c r="T219">
        <v>0</v>
      </c>
      <c r="U219">
        <v>0</v>
      </c>
      <c r="V219">
        <v>0</v>
      </c>
      <c r="W219">
        <v>0</v>
      </c>
      <c r="X219">
        <v>11.93815</v>
      </c>
      <c r="Y219">
        <v>0</v>
      </c>
      <c r="Z219">
        <v>0.33</v>
      </c>
      <c r="AA219">
        <v>0.64846999999999999</v>
      </c>
      <c r="AB219">
        <v>0</v>
      </c>
      <c r="AC219">
        <v>0</v>
      </c>
      <c r="AD219">
        <v>0</v>
      </c>
      <c r="AF219">
        <v>7.0000000000000007E-2</v>
      </c>
      <c r="AG219">
        <v>158995</v>
      </c>
      <c r="AH219">
        <v>0</v>
      </c>
      <c r="AI219">
        <v>0</v>
      </c>
      <c r="AJ219">
        <v>0</v>
      </c>
      <c r="AK219">
        <v>0</v>
      </c>
      <c r="AL219">
        <v>0.08</v>
      </c>
      <c r="AM219">
        <v>150771</v>
      </c>
      <c r="AN219">
        <v>0</v>
      </c>
      <c r="AO219">
        <v>0</v>
      </c>
      <c r="AP219">
        <v>0</v>
      </c>
      <c r="AQ219">
        <v>0</v>
      </c>
      <c r="AR219">
        <v>0.08</v>
      </c>
      <c r="AS219">
        <v>149418</v>
      </c>
      <c r="AT219">
        <v>0</v>
      </c>
      <c r="AU219">
        <v>0</v>
      </c>
      <c r="AV219">
        <v>7.0000000000000007E-2</v>
      </c>
      <c r="AW219">
        <v>130741</v>
      </c>
      <c r="BA219">
        <v>333</v>
      </c>
      <c r="BB219" t="s">
        <v>597</v>
      </c>
      <c r="BC219">
        <v>298.2</v>
      </c>
      <c r="BD219">
        <v>297</v>
      </c>
    </row>
    <row r="220" spans="1:56" x14ac:dyDescent="0.25">
      <c r="A220">
        <v>4779</v>
      </c>
      <c r="B220" t="s">
        <v>410</v>
      </c>
      <c r="C220">
        <v>13.50985</v>
      </c>
      <c r="D220">
        <v>1.4676899999999999</v>
      </c>
      <c r="E220">
        <v>0.33</v>
      </c>
      <c r="F220">
        <v>1.34</v>
      </c>
      <c r="G220">
        <v>0</v>
      </c>
      <c r="H220">
        <v>0</v>
      </c>
      <c r="I220">
        <v>3.3435899999999998</v>
      </c>
      <c r="J220">
        <v>13.80843</v>
      </c>
      <c r="K220">
        <v>1.0629900000000001</v>
      </c>
      <c r="L220">
        <v>0.33</v>
      </c>
      <c r="M220">
        <v>1.34</v>
      </c>
      <c r="N220">
        <v>0</v>
      </c>
      <c r="O220">
        <v>0</v>
      </c>
      <c r="P220">
        <v>3.4585699999999999</v>
      </c>
      <c r="Q220">
        <v>13.5624</v>
      </c>
      <c r="R220">
        <v>0.92744000000000004</v>
      </c>
      <c r="S220">
        <v>0.33</v>
      </c>
      <c r="T220">
        <v>1.34</v>
      </c>
      <c r="U220">
        <v>0</v>
      </c>
      <c r="V220">
        <v>0</v>
      </c>
      <c r="W220">
        <v>3.8399899999999998</v>
      </c>
      <c r="X220">
        <v>13.75741</v>
      </c>
      <c r="Y220">
        <v>0.37655</v>
      </c>
      <c r="Z220">
        <v>0.33</v>
      </c>
      <c r="AA220">
        <v>1.34</v>
      </c>
      <c r="AB220">
        <v>0</v>
      </c>
      <c r="AC220">
        <v>0</v>
      </c>
      <c r="AD220">
        <v>4.05</v>
      </c>
      <c r="AF220">
        <v>0.05</v>
      </c>
      <c r="AG220">
        <v>384838</v>
      </c>
      <c r="AH220">
        <v>0</v>
      </c>
      <c r="AI220">
        <v>0</v>
      </c>
      <c r="AJ220">
        <v>0</v>
      </c>
      <c r="AK220">
        <v>0</v>
      </c>
      <c r="AL220">
        <v>0.05</v>
      </c>
      <c r="AM220">
        <v>363227</v>
      </c>
      <c r="AN220">
        <v>0</v>
      </c>
      <c r="AO220">
        <v>0</v>
      </c>
      <c r="AP220">
        <v>0</v>
      </c>
      <c r="AQ220">
        <v>0</v>
      </c>
      <c r="AR220">
        <v>0.05</v>
      </c>
      <c r="AS220">
        <v>354327</v>
      </c>
      <c r="AT220">
        <v>0</v>
      </c>
      <c r="AU220">
        <v>0</v>
      </c>
      <c r="AV220">
        <v>0</v>
      </c>
      <c r="AW220">
        <v>0</v>
      </c>
      <c r="BA220">
        <v>4787</v>
      </c>
      <c r="BB220" t="s">
        <v>414</v>
      </c>
      <c r="BC220">
        <v>293.3</v>
      </c>
      <c r="BD220">
        <v>292.60000000000002</v>
      </c>
    </row>
    <row r="221" spans="1:56" x14ac:dyDescent="0.25">
      <c r="A221">
        <v>4784</v>
      </c>
      <c r="B221" t="s">
        <v>411</v>
      </c>
      <c r="C221">
        <v>12.09618</v>
      </c>
      <c r="D221">
        <v>0.79888999999999999</v>
      </c>
      <c r="E221">
        <v>0.33</v>
      </c>
      <c r="F221">
        <v>0.97</v>
      </c>
      <c r="G221">
        <v>0</v>
      </c>
      <c r="H221">
        <v>0</v>
      </c>
      <c r="I221">
        <v>0</v>
      </c>
      <c r="J221">
        <v>12.17421</v>
      </c>
      <c r="K221">
        <v>0.71489000000000003</v>
      </c>
      <c r="L221">
        <v>0.33</v>
      </c>
      <c r="M221">
        <v>0.97</v>
      </c>
      <c r="N221">
        <v>0</v>
      </c>
      <c r="O221">
        <v>0</v>
      </c>
      <c r="P221">
        <v>0</v>
      </c>
      <c r="Q221">
        <v>12.7117</v>
      </c>
      <c r="R221">
        <v>0.49421999999999999</v>
      </c>
      <c r="S221">
        <v>0.33</v>
      </c>
      <c r="T221">
        <v>0.97</v>
      </c>
      <c r="U221">
        <v>0</v>
      </c>
      <c r="V221">
        <v>0</v>
      </c>
      <c r="W221">
        <v>0</v>
      </c>
      <c r="X221">
        <v>13.09319</v>
      </c>
      <c r="Y221">
        <v>0.36205999999999999</v>
      </c>
      <c r="Z221">
        <v>0.33</v>
      </c>
      <c r="AA221">
        <v>0.97</v>
      </c>
      <c r="AB221">
        <v>0</v>
      </c>
      <c r="AC221">
        <v>0</v>
      </c>
      <c r="AD221">
        <v>0</v>
      </c>
      <c r="AF221">
        <v>0.01</v>
      </c>
      <c r="AG221">
        <v>165878</v>
      </c>
      <c r="AH221">
        <v>0</v>
      </c>
      <c r="AI221">
        <v>0</v>
      </c>
      <c r="AJ221">
        <v>0</v>
      </c>
      <c r="AK221">
        <v>0</v>
      </c>
      <c r="AL221">
        <v>0.01</v>
      </c>
      <c r="AM221">
        <v>163197</v>
      </c>
      <c r="AN221">
        <v>0</v>
      </c>
      <c r="AO221">
        <v>0</v>
      </c>
      <c r="AP221">
        <v>0</v>
      </c>
      <c r="AQ221">
        <v>0</v>
      </c>
      <c r="AR221">
        <v>0.01</v>
      </c>
      <c r="AS221">
        <v>153163</v>
      </c>
      <c r="AT221">
        <v>0</v>
      </c>
      <c r="AU221">
        <v>0</v>
      </c>
      <c r="AV221">
        <v>0</v>
      </c>
      <c r="AW221">
        <v>0</v>
      </c>
      <c r="BA221">
        <v>4773</v>
      </c>
      <c r="BB221" t="s">
        <v>415</v>
      </c>
      <c r="BC221">
        <v>549.20000000000005</v>
      </c>
      <c r="BD221">
        <v>544.1</v>
      </c>
    </row>
    <row r="222" spans="1:56" x14ac:dyDescent="0.25">
      <c r="A222">
        <v>4785</v>
      </c>
      <c r="B222" t="s">
        <v>412</v>
      </c>
      <c r="C222">
        <v>9.6415699999999998</v>
      </c>
      <c r="D222">
        <v>0</v>
      </c>
      <c r="E222">
        <v>0.33</v>
      </c>
      <c r="F222">
        <v>0</v>
      </c>
      <c r="G222">
        <v>0</v>
      </c>
      <c r="H222">
        <v>0</v>
      </c>
      <c r="I222">
        <v>0</v>
      </c>
      <c r="J222">
        <v>8.8963900000000002</v>
      </c>
      <c r="K222">
        <v>1.8491599999999999</v>
      </c>
      <c r="L222">
        <v>0.33</v>
      </c>
      <c r="M222">
        <v>0</v>
      </c>
      <c r="N222">
        <v>0</v>
      </c>
      <c r="O222">
        <v>0</v>
      </c>
      <c r="P222">
        <v>0</v>
      </c>
      <c r="Q222">
        <v>9.6994000000000007</v>
      </c>
      <c r="R222">
        <v>1.6556200000000001</v>
      </c>
      <c r="S222">
        <v>0.33</v>
      </c>
      <c r="T222">
        <v>0</v>
      </c>
      <c r="U222">
        <v>0</v>
      </c>
      <c r="V222">
        <v>0</v>
      </c>
      <c r="W222">
        <v>0</v>
      </c>
      <c r="X222">
        <v>10.66277</v>
      </c>
      <c r="Y222">
        <v>0.98989000000000005</v>
      </c>
      <c r="Z222">
        <v>0.33</v>
      </c>
      <c r="AA222">
        <v>0</v>
      </c>
      <c r="AB222">
        <v>0</v>
      </c>
      <c r="AC222">
        <v>0</v>
      </c>
      <c r="AD222">
        <v>0</v>
      </c>
      <c r="AF222">
        <v>0.09</v>
      </c>
      <c r="AG222">
        <v>227574</v>
      </c>
      <c r="AH222">
        <v>0</v>
      </c>
      <c r="AI222">
        <v>0</v>
      </c>
      <c r="AJ222">
        <v>0</v>
      </c>
      <c r="AK222">
        <v>0</v>
      </c>
      <c r="AL222">
        <v>0.09</v>
      </c>
      <c r="AM222">
        <v>218617</v>
      </c>
      <c r="AN222">
        <v>0</v>
      </c>
      <c r="AO222">
        <v>0</v>
      </c>
      <c r="AP222">
        <v>0</v>
      </c>
      <c r="AQ222">
        <v>0</v>
      </c>
      <c r="AR222">
        <v>0.09</v>
      </c>
      <c r="AS222">
        <v>207314</v>
      </c>
      <c r="AT222">
        <v>0</v>
      </c>
      <c r="AU222">
        <v>0</v>
      </c>
      <c r="AV222">
        <v>0</v>
      </c>
      <c r="AW222">
        <v>0</v>
      </c>
      <c r="BA222">
        <v>4775</v>
      </c>
      <c r="BB222" t="s">
        <v>416</v>
      </c>
      <c r="BC222">
        <v>230</v>
      </c>
      <c r="BD222">
        <v>212</v>
      </c>
    </row>
    <row r="223" spans="1:56" x14ac:dyDescent="0.25">
      <c r="A223">
        <v>4787</v>
      </c>
      <c r="B223" t="s">
        <v>414</v>
      </c>
      <c r="C223">
        <v>13.62711</v>
      </c>
      <c r="D223">
        <v>0.72204999999999997</v>
      </c>
      <c r="E223">
        <v>0.33</v>
      </c>
      <c r="F223">
        <v>0</v>
      </c>
      <c r="G223">
        <v>0</v>
      </c>
      <c r="H223">
        <v>0</v>
      </c>
      <c r="I223">
        <v>0</v>
      </c>
      <c r="J223">
        <v>13.8072</v>
      </c>
      <c r="K223">
        <v>0.63280000000000003</v>
      </c>
      <c r="L223">
        <v>0.33</v>
      </c>
      <c r="M223">
        <v>0</v>
      </c>
      <c r="N223">
        <v>0</v>
      </c>
      <c r="O223">
        <v>0</v>
      </c>
      <c r="P223">
        <v>0</v>
      </c>
      <c r="Q223">
        <v>13.90821</v>
      </c>
      <c r="R223">
        <v>0.53312999999999999</v>
      </c>
      <c r="S223">
        <v>0.33</v>
      </c>
      <c r="T223">
        <v>0</v>
      </c>
      <c r="U223">
        <v>0</v>
      </c>
      <c r="V223">
        <v>0</v>
      </c>
      <c r="W223">
        <v>0</v>
      </c>
      <c r="X223">
        <v>13.48329</v>
      </c>
      <c r="Y223">
        <v>0.95670999999999995</v>
      </c>
      <c r="Z223">
        <v>0.33</v>
      </c>
      <c r="AA223">
        <v>0</v>
      </c>
      <c r="AB223">
        <v>0</v>
      </c>
      <c r="AC223">
        <v>0</v>
      </c>
      <c r="AD223">
        <v>0</v>
      </c>
      <c r="AF223">
        <v>0.1</v>
      </c>
      <c r="AG223">
        <v>111745</v>
      </c>
      <c r="AH223">
        <v>0</v>
      </c>
      <c r="AI223">
        <v>0</v>
      </c>
      <c r="AJ223">
        <v>0</v>
      </c>
      <c r="AK223">
        <v>0</v>
      </c>
      <c r="AL223">
        <v>0.1</v>
      </c>
      <c r="AM223">
        <v>100071</v>
      </c>
      <c r="AN223">
        <v>0</v>
      </c>
      <c r="AO223">
        <v>0</v>
      </c>
      <c r="AP223">
        <v>0</v>
      </c>
      <c r="AQ223">
        <v>0</v>
      </c>
      <c r="AR223">
        <v>0.1</v>
      </c>
      <c r="AS223">
        <v>89956</v>
      </c>
      <c r="AT223">
        <v>0</v>
      </c>
      <c r="AU223">
        <v>0</v>
      </c>
      <c r="AV223">
        <v>0</v>
      </c>
      <c r="AW223">
        <v>0</v>
      </c>
      <c r="BA223">
        <v>4788</v>
      </c>
      <c r="BB223" t="s">
        <v>417</v>
      </c>
      <c r="BC223">
        <v>499.4</v>
      </c>
      <c r="BD223">
        <v>519.29999999999995</v>
      </c>
    </row>
    <row r="224" spans="1:56" x14ac:dyDescent="0.25">
      <c r="A224">
        <v>4788</v>
      </c>
      <c r="B224" t="s">
        <v>417</v>
      </c>
      <c r="C224">
        <v>9.5525300000000009</v>
      </c>
      <c r="D224">
        <v>0</v>
      </c>
      <c r="E224">
        <v>0.33</v>
      </c>
      <c r="F224">
        <v>0.67</v>
      </c>
      <c r="G224">
        <v>0</v>
      </c>
      <c r="H224">
        <v>0</v>
      </c>
      <c r="I224">
        <v>0.97589000000000004</v>
      </c>
      <c r="J224">
        <v>8.6841399999999993</v>
      </c>
      <c r="K224">
        <v>0.22877</v>
      </c>
      <c r="L224">
        <v>0.33</v>
      </c>
      <c r="M224">
        <v>0.67</v>
      </c>
      <c r="N224">
        <v>0</v>
      </c>
      <c r="O224">
        <v>0</v>
      </c>
      <c r="P224">
        <v>1.00922</v>
      </c>
      <c r="Q224">
        <v>10.00076</v>
      </c>
      <c r="R224">
        <v>0.11776</v>
      </c>
      <c r="S224">
        <v>0.33</v>
      </c>
      <c r="T224">
        <v>0.67</v>
      </c>
      <c r="U224">
        <v>0</v>
      </c>
      <c r="V224">
        <v>0</v>
      </c>
      <c r="W224">
        <v>0.42427999999999999</v>
      </c>
      <c r="X224">
        <v>10.58839</v>
      </c>
      <c r="Y224">
        <v>0.12078</v>
      </c>
      <c r="Z224">
        <v>0.33</v>
      </c>
      <c r="AA224">
        <v>0.67</v>
      </c>
      <c r="AB224">
        <v>0</v>
      </c>
      <c r="AC224">
        <v>0</v>
      </c>
      <c r="AD224">
        <v>0.56764000000000003</v>
      </c>
      <c r="AF224">
        <v>0.05</v>
      </c>
      <c r="AG224">
        <v>146457</v>
      </c>
      <c r="AH224">
        <v>0</v>
      </c>
      <c r="AI224">
        <v>0</v>
      </c>
      <c r="AJ224">
        <v>0</v>
      </c>
      <c r="AK224">
        <v>0</v>
      </c>
      <c r="AL224">
        <v>0.05</v>
      </c>
      <c r="AM224">
        <v>137349</v>
      </c>
      <c r="AN224">
        <v>0</v>
      </c>
      <c r="AO224">
        <v>0</v>
      </c>
      <c r="AP224">
        <v>0</v>
      </c>
      <c r="AQ224">
        <v>0</v>
      </c>
      <c r="AR224">
        <v>0.05</v>
      </c>
      <c r="AS224">
        <v>127027</v>
      </c>
      <c r="AT224">
        <v>0</v>
      </c>
      <c r="AU224">
        <v>0</v>
      </c>
      <c r="AV224">
        <v>0</v>
      </c>
      <c r="AW224">
        <v>0</v>
      </c>
      <c r="BA224">
        <v>4797</v>
      </c>
      <c r="BB224" t="s">
        <v>418</v>
      </c>
      <c r="BC224">
        <v>2434</v>
      </c>
      <c r="BD224">
        <v>2516.6</v>
      </c>
    </row>
    <row r="225" spans="1:56" x14ac:dyDescent="0.25">
      <c r="A225">
        <v>4797</v>
      </c>
      <c r="B225" t="s">
        <v>418</v>
      </c>
      <c r="C225">
        <v>12.97804</v>
      </c>
      <c r="D225">
        <v>1.1978500000000001</v>
      </c>
      <c r="E225">
        <v>0.33</v>
      </c>
      <c r="F225">
        <v>1.34</v>
      </c>
      <c r="G225">
        <v>0</v>
      </c>
      <c r="H225">
        <v>0</v>
      </c>
      <c r="I225">
        <v>4.05</v>
      </c>
      <c r="J225">
        <v>12.63341</v>
      </c>
      <c r="K225">
        <v>1.4473100000000001</v>
      </c>
      <c r="L225">
        <v>0.33</v>
      </c>
      <c r="M225">
        <v>1.34</v>
      </c>
      <c r="N225">
        <v>0</v>
      </c>
      <c r="O225">
        <v>0</v>
      </c>
      <c r="P225">
        <v>4.0496699999999999</v>
      </c>
      <c r="Q225">
        <v>12.96538</v>
      </c>
      <c r="R225">
        <v>2.4453999999999998</v>
      </c>
      <c r="S225">
        <v>0.33</v>
      </c>
      <c r="T225">
        <v>1.34</v>
      </c>
      <c r="U225">
        <v>0</v>
      </c>
      <c r="V225">
        <v>0</v>
      </c>
      <c r="W225">
        <v>3.49017</v>
      </c>
      <c r="X225">
        <v>13.35431</v>
      </c>
      <c r="Y225">
        <v>1.24478</v>
      </c>
      <c r="Z225">
        <v>0.33</v>
      </c>
      <c r="AA225">
        <v>1.34</v>
      </c>
      <c r="AB225">
        <v>0</v>
      </c>
      <c r="AC225">
        <v>0</v>
      </c>
      <c r="AD225">
        <v>3.74315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BA225">
        <v>4860</v>
      </c>
      <c r="BB225" t="s">
        <v>419</v>
      </c>
      <c r="BC225">
        <v>336.3</v>
      </c>
      <c r="BD225">
        <v>333.4</v>
      </c>
    </row>
    <row r="226" spans="1:56" x14ac:dyDescent="0.25">
      <c r="A226">
        <v>4824</v>
      </c>
      <c r="B226" t="s">
        <v>444</v>
      </c>
      <c r="C226">
        <v>8.3513000000000002</v>
      </c>
      <c r="D226">
        <v>0.56757000000000002</v>
      </c>
      <c r="E226">
        <v>0.33</v>
      </c>
      <c r="F226">
        <v>0</v>
      </c>
      <c r="G226">
        <v>0</v>
      </c>
      <c r="H226">
        <v>0</v>
      </c>
      <c r="I226">
        <v>2.69529</v>
      </c>
      <c r="J226">
        <v>8.6229099999999992</v>
      </c>
      <c r="K226">
        <v>0.30532999999999999</v>
      </c>
      <c r="L226">
        <v>0.33</v>
      </c>
      <c r="M226">
        <v>0</v>
      </c>
      <c r="N226">
        <v>0</v>
      </c>
      <c r="O226">
        <v>0</v>
      </c>
      <c r="P226">
        <v>0</v>
      </c>
      <c r="Q226">
        <v>9.0455699999999997</v>
      </c>
      <c r="R226">
        <v>0.25442999999999999</v>
      </c>
      <c r="S226">
        <v>0.33</v>
      </c>
      <c r="T226">
        <v>0</v>
      </c>
      <c r="U226">
        <v>0</v>
      </c>
      <c r="V226">
        <v>0</v>
      </c>
      <c r="W226">
        <v>0</v>
      </c>
      <c r="X226">
        <v>9.3591800000000003</v>
      </c>
      <c r="Y226">
        <v>0.50334999999999996</v>
      </c>
      <c r="Z226">
        <v>0.33</v>
      </c>
      <c r="AA226">
        <v>0</v>
      </c>
      <c r="AB226">
        <v>0</v>
      </c>
      <c r="AC226">
        <v>0</v>
      </c>
      <c r="AD226">
        <v>0</v>
      </c>
      <c r="AF226">
        <v>7.0000000000000007E-2</v>
      </c>
      <c r="AG226">
        <v>235297</v>
      </c>
      <c r="AH226">
        <v>0</v>
      </c>
      <c r="AI226">
        <v>0</v>
      </c>
      <c r="AJ226">
        <v>0</v>
      </c>
      <c r="AK226">
        <v>0</v>
      </c>
      <c r="AL226">
        <v>7.0000000000000007E-2</v>
      </c>
      <c r="AM226">
        <v>224675</v>
      </c>
      <c r="AN226">
        <v>0</v>
      </c>
      <c r="AO226">
        <v>0</v>
      </c>
      <c r="AP226">
        <v>0</v>
      </c>
      <c r="AQ226">
        <v>0</v>
      </c>
      <c r="AR226">
        <v>0.09</v>
      </c>
      <c r="AS226">
        <v>288376</v>
      </c>
      <c r="AT226">
        <v>0</v>
      </c>
      <c r="AU226">
        <v>0</v>
      </c>
      <c r="AV226">
        <v>0</v>
      </c>
      <c r="AW226">
        <v>0</v>
      </c>
      <c r="BA226">
        <v>4869</v>
      </c>
      <c r="BB226" t="s">
        <v>420</v>
      </c>
      <c r="BC226">
        <v>1284.9000000000001</v>
      </c>
      <c r="BD226">
        <v>1272.8</v>
      </c>
    </row>
    <row r="227" spans="1:56" x14ac:dyDescent="0.25">
      <c r="A227">
        <v>4860</v>
      </c>
      <c r="B227" t="s">
        <v>419</v>
      </c>
      <c r="C227">
        <v>9.1551200000000001</v>
      </c>
      <c r="D227">
        <v>1.9322900000000001</v>
      </c>
      <c r="E227">
        <v>0.33</v>
      </c>
      <c r="F227">
        <v>1.18075</v>
      </c>
      <c r="G227">
        <v>0</v>
      </c>
      <c r="H227">
        <v>0</v>
      </c>
      <c r="I227">
        <v>0</v>
      </c>
      <c r="J227">
        <v>9.1159300000000005</v>
      </c>
      <c r="K227">
        <v>2.1560600000000001</v>
      </c>
      <c r="L227">
        <v>0.32862999999999998</v>
      </c>
      <c r="M227">
        <v>1.20275</v>
      </c>
      <c r="N227">
        <v>0</v>
      </c>
      <c r="O227">
        <v>0</v>
      </c>
      <c r="P227">
        <v>0</v>
      </c>
      <c r="Q227">
        <v>11.832710000000001</v>
      </c>
      <c r="R227">
        <v>0.77385000000000004</v>
      </c>
      <c r="S227">
        <v>0.33</v>
      </c>
      <c r="T227">
        <v>0.54613</v>
      </c>
      <c r="U227">
        <v>0</v>
      </c>
      <c r="V227">
        <v>0</v>
      </c>
      <c r="W227">
        <v>0</v>
      </c>
      <c r="X227">
        <v>11.93683</v>
      </c>
      <c r="Y227">
        <v>0.88553999999999999</v>
      </c>
      <c r="Z227">
        <v>0.33</v>
      </c>
      <c r="AA227">
        <v>0.54246000000000005</v>
      </c>
      <c r="AB227">
        <v>0</v>
      </c>
      <c r="AC227">
        <v>0</v>
      </c>
      <c r="AD227">
        <v>0</v>
      </c>
      <c r="AF227">
        <v>0.01</v>
      </c>
      <c r="AG227">
        <v>18662</v>
      </c>
      <c r="AH227">
        <v>0</v>
      </c>
      <c r="AI227">
        <v>0</v>
      </c>
      <c r="AJ227">
        <v>0.01</v>
      </c>
      <c r="AK227">
        <v>18662</v>
      </c>
      <c r="AL227">
        <v>0.02</v>
      </c>
      <c r="AM227">
        <v>33505</v>
      </c>
      <c r="AN227">
        <v>0</v>
      </c>
      <c r="AO227">
        <v>0</v>
      </c>
      <c r="AP227">
        <v>0.01</v>
      </c>
      <c r="AQ227">
        <v>16753</v>
      </c>
      <c r="AR227">
        <v>0.05</v>
      </c>
      <c r="AS227">
        <v>83053</v>
      </c>
      <c r="AT227">
        <v>0</v>
      </c>
      <c r="AU227">
        <v>0</v>
      </c>
      <c r="AV227">
        <v>0.01</v>
      </c>
      <c r="AW227">
        <v>16611</v>
      </c>
      <c r="BA227">
        <v>4878</v>
      </c>
      <c r="BB227" t="s">
        <v>421</v>
      </c>
      <c r="BC227">
        <v>609</v>
      </c>
      <c r="BD227">
        <v>618.1</v>
      </c>
    </row>
    <row r="228" spans="1:56" x14ac:dyDescent="0.25">
      <c r="A228">
        <v>4869</v>
      </c>
      <c r="B228" t="s">
        <v>420</v>
      </c>
      <c r="C228">
        <v>10.681990000000001</v>
      </c>
      <c r="D228">
        <v>1.7683</v>
      </c>
      <c r="E228">
        <v>0.33</v>
      </c>
      <c r="F228">
        <v>0.73819000000000001</v>
      </c>
      <c r="G228">
        <v>0</v>
      </c>
      <c r="H228">
        <v>0</v>
      </c>
      <c r="I228">
        <v>0</v>
      </c>
      <c r="J228">
        <v>11.23751</v>
      </c>
      <c r="K228">
        <v>1.0752900000000001</v>
      </c>
      <c r="L228">
        <v>0.33</v>
      </c>
      <c r="M228">
        <v>1.15825</v>
      </c>
      <c r="N228">
        <v>0</v>
      </c>
      <c r="O228">
        <v>0</v>
      </c>
      <c r="P228">
        <v>0</v>
      </c>
      <c r="Q228">
        <v>13.52384</v>
      </c>
      <c r="R228">
        <v>1.8553200000000001</v>
      </c>
      <c r="S228">
        <v>0.33</v>
      </c>
      <c r="T228">
        <v>0.47543000000000002</v>
      </c>
      <c r="U228">
        <v>0</v>
      </c>
      <c r="V228">
        <v>0</v>
      </c>
      <c r="W228">
        <v>0</v>
      </c>
      <c r="X228">
        <v>14.33318</v>
      </c>
      <c r="Y228">
        <v>1.3204199999999999</v>
      </c>
      <c r="Z228">
        <v>0.33</v>
      </c>
      <c r="AA228">
        <v>0.47694999999999999</v>
      </c>
      <c r="AB228">
        <v>0</v>
      </c>
      <c r="AC228">
        <v>0</v>
      </c>
      <c r="AD228">
        <v>0</v>
      </c>
      <c r="AF228">
        <v>0.06</v>
      </c>
      <c r="AG228">
        <v>307485</v>
      </c>
      <c r="AH228">
        <v>0</v>
      </c>
      <c r="AI228">
        <v>0</v>
      </c>
      <c r="AJ228">
        <v>0.01</v>
      </c>
      <c r="AK228">
        <v>51248</v>
      </c>
      <c r="AL228">
        <v>0.06</v>
      </c>
      <c r="AM228">
        <v>281666</v>
      </c>
      <c r="AN228">
        <v>0</v>
      </c>
      <c r="AO228">
        <v>0</v>
      </c>
      <c r="AP228">
        <v>0.05</v>
      </c>
      <c r="AQ228">
        <v>234722</v>
      </c>
      <c r="AR228">
        <v>0.06</v>
      </c>
      <c r="AS228">
        <v>277228</v>
      </c>
      <c r="AT228">
        <v>0</v>
      </c>
      <c r="AU228">
        <v>0</v>
      </c>
      <c r="AV228">
        <v>0.05</v>
      </c>
      <c r="AW228">
        <v>231023</v>
      </c>
      <c r="BA228">
        <v>4890</v>
      </c>
      <c r="BB228" t="s">
        <v>422</v>
      </c>
      <c r="BC228">
        <v>941.4</v>
      </c>
      <c r="BD228">
        <v>919.6</v>
      </c>
    </row>
    <row r="229" spans="1:56" x14ac:dyDescent="0.25">
      <c r="A229">
        <v>4878</v>
      </c>
      <c r="B229" t="s">
        <v>421</v>
      </c>
      <c r="C229">
        <v>8.9344099999999997</v>
      </c>
      <c r="D229">
        <v>2.20444</v>
      </c>
      <c r="E229">
        <v>0.33</v>
      </c>
      <c r="F229">
        <v>1.34</v>
      </c>
      <c r="G229">
        <v>0.13500000000000001</v>
      </c>
      <c r="H229">
        <v>0</v>
      </c>
      <c r="I229">
        <v>1.44567</v>
      </c>
      <c r="J229">
        <v>10.32546</v>
      </c>
      <c r="K229">
        <v>2.2357900000000002</v>
      </c>
      <c r="L229">
        <v>0.33</v>
      </c>
      <c r="M229">
        <v>1.34</v>
      </c>
      <c r="N229">
        <v>0.13500000000000001</v>
      </c>
      <c r="O229">
        <v>0</v>
      </c>
      <c r="P229">
        <v>1.56585</v>
      </c>
      <c r="Q229">
        <v>13.640029999999999</v>
      </c>
      <c r="R229">
        <v>1.4136200000000001</v>
      </c>
      <c r="S229">
        <v>0.33</v>
      </c>
      <c r="T229">
        <v>1.34</v>
      </c>
      <c r="U229">
        <v>0.13500000000000001</v>
      </c>
      <c r="V229">
        <v>0</v>
      </c>
      <c r="W229">
        <v>1.6632899999999999</v>
      </c>
      <c r="X229">
        <v>14.5838</v>
      </c>
      <c r="Y229">
        <v>0.63685999999999998</v>
      </c>
      <c r="Z229">
        <v>0.33</v>
      </c>
      <c r="AA229">
        <v>1.34</v>
      </c>
      <c r="AB229">
        <v>0.13500000000000001</v>
      </c>
      <c r="AC229">
        <v>0</v>
      </c>
      <c r="AD229">
        <v>1.5656000000000001</v>
      </c>
      <c r="AF229">
        <v>7.0000000000000007E-2</v>
      </c>
      <c r="AG229">
        <v>220128</v>
      </c>
      <c r="AH229">
        <v>0</v>
      </c>
      <c r="AI229">
        <v>0</v>
      </c>
      <c r="AJ229">
        <v>0</v>
      </c>
      <c r="AK229">
        <v>0</v>
      </c>
      <c r="AL229">
        <v>7.0000000000000007E-2</v>
      </c>
      <c r="AM229">
        <v>224757</v>
      </c>
      <c r="AN229">
        <v>0</v>
      </c>
      <c r="AO229">
        <v>0</v>
      </c>
      <c r="AP229">
        <v>0</v>
      </c>
      <c r="AQ229">
        <v>0</v>
      </c>
      <c r="AR229">
        <v>7.0000000000000007E-2</v>
      </c>
      <c r="AS229">
        <v>199665</v>
      </c>
      <c r="AT229">
        <v>0</v>
      </c>
      <c r="AU229">
        <v>0</v>
      </c>
      <c r="AV229">
        <v>0</v>
      </c>
      <c r="AW229">
        <v>0</v>
      </c>
      <c r="BA229">
        <v>4905</v>
      </c>
      <c r="BB229" t="s">
        <v>423</v>
      </c>
      <c r="BC229">
        <v>230</v>
      </c>
      <c r="BD229">
        <v>235.4</v>
      </c>
    </row>
    <row r="230" spans="1:56" x14ac:dyDescent="0.25">
      <c r="A230">
        <v>4890</v>
      </c>
      <c r="B230" t="s">
        <v>422</v>
      </c>
      <c r="C230">
        <v>6.8830499999999999</v>
      </c>
      <c r="D230">
        <v>0.27559</v>
      </c>
      <c r="E230">
        <v>0.33</v>
      </c>
      <c r="F230">
        <v>0</v>
      </c>
      <c r="G230">
        <v>0</v>
      </c>
      <c r="H230">
        <v>0</v>
      </c>
      <c r="I230">
        <v>0</v>
      </c>
      <c r="J230">
        <v>6.87507</v>
      </c>
      <c r="K230">
        <v>0.33211000000000002</v>
      </c>
      <c r="L230">
        <v>0.33</v>
      </c>
      <c r="M230">
        <v>0</v>
      </c>
      <c r="N230">
        <v>0</v>
      </c>
      <c r="O230">
        <v>0</v>
      </c>
      <c r="P230">
        <v>0</v>
      </c>
      <c r="Q230">
        <v>7.5088200000000001</v>
      </c>
      <c r="R230">
        <v>0.49568000000000001</v>
      </c>
      <c r="S230">
        <v>0.33</v>
      </c>
      <c r="T230">
        <v>0</v>
      </c>
      <c r="U230">
        <v>0</v>
      </c>
      <c r="V230">
        <v>0</v>
      </c>
      <c r="W230">
        <v>0</v>
      </c>
      <c r="X230">
        <v>7.9047599999999996</v>
      </c>
      <c r="Y230">
        <v>0.10992</v>
      </c>
      <c r="Z230">
        <v>0.33</v>
      </c>
      <c r="AA230">
        <v>0</v>
      </c>
      <c r="AB230">
        <v>0</v>
      </c>
      <c r="AC230">
        <v>0</v>
      </c>
      <c r="AD230">
        <v>0</v>
      </c>
      <c r="AF230">
        <v>0.02</v>
      </c>
      <c r="AG230">
        <v>156225</v>
      </c>
      <c r="AH230">
        <v>0</v>
      </c>
      <c r="AI230">
        <v>0</v>
      </c>
      <c r="AJ230">
        <v>0</v>
      </c>
      <c r="AK230">
        <v>0</v>
      </c>
      <c r="AL230">
        <v>0.02</v>
      </c>
      <c r="AM230">
        <v>146163</v>
      </c>
      <c r="AN230">
        <v>0</v>
      </c>
      <c r="AO230">
        <v>0</v>
      </c>
      <c r="AP230">
        <v>0</v>
      </c>
      <c r="AQ230">
        <v>0</v>
      </c>
      <c r="AR230">
        <v>0.02</v>
      </c>
      <c r="AS230">
        <v>127292</v>
      </c>
      <c r="AT230">
        <v>0</v>
      </c>
      <c r="AU230">
        <v>0</v>
      </c>
      <c r="AV230">
        <v>0</v>
      </c>
      <c r="AW230">
        <v>0</v>
      </c>
      <c r="BA230">
        <v>4978</v>
      </c>
      <c r="BB230" t="s">
        <v>424</v>
      </c>
      <c r="BC230">
        <v>191.1</v>
      </c>
      <c r="BD230">
        <v>199.1</v>
      </c>
    </row>
    <row r="231" spans="1:56" x14ac:dyDescent="0.25">
      <c r="A231">
        <v>4905</v>
      </c>
      <c r="B231" t="s">
        <v>423</v>
      </c>
      <c r="C231">
        <v>14.33117</v>
      </c>
      <c r="D231">
        <v>1.3047899999999999</v>
      </c>
      <c r="E231">
        <v>0.33</v>
      </c>
      <c r="F231">
        <v>0.67</v>
      </c>
      <c r="G231">
        <v>0.13500000000000001</v>
      </c>
      <c r="H231">
        <v>0</v>
      </c>
      <c r="I231">
        <v>0</v>
      </c>
      <c r="J231">
        <v>14.304959999999999</v>
      </c>
      <c r="K231">
        <v>1.23109</v>
      </c>
      <c r="L231">
        <v>0.33</v>
      </c>
      <c r="M231">
        <v>0.67</v>
      </c>
      <c r="N231">
        <v>0.13500000000000001</v>
      </c>
      <c r="O231">
        <v>0</v>
      </c>
      <c r="P231">
        <v>0</v>
      </c>
      <c r="Q231">
        <v>14.56583</v>
      </c>
      <c r="R231">
        <v>1.0444599999999999</v>
      </c>
      <c r="S231">
        <v>0.33</v>
      </c>
      <c r="T231">
        <v>0.67</v>
      </c>
      <c r="U231">
        <v>0.13500000000000001</v>
      </c>
      <c r="V231">
        <v>0</v>
      </c>
      <c r="W231">
        <v>0</v>
      </c>
      <c r="X231">
        <v>14.5541</v>
      </c>
      <c r="Y231">
        <v>1.1297200000000001</v>
      </c>
      <c r="Z231">
        <v>0.33</v>
      </c>
      <c r="AA231">
        <v>0.67</v>
      </c>
      <c r="AB231">
        <v>0.13500000000000001</v>
      </c>
      <c r="AC231">
        <v>0</v>
      </c>
      <c r="AD231">
        <v>0</v>
      </c>
      <c r="AF231">
        <v>0.1</v>
      </c>
      <c r="AG231">
        <v>106829</v>
      </c>
      <c r="AH231">
        <v>0</v>
      </c>
      <c r="AI231">
        <v>0</v>
      </c>
      <c r="AJ231">
        <v>0</v>
      </c>
      <c r="AK231">
        <v>0</v>
      </c>
      <c r="AL231">
        <v>0.1</v>
      </c>
      <c r="AM231">
        <v>98639</v>
      </c>
      <c r="AN231">
        <v>0</v>
      </c>
      <c r="AO231">
        <v>0</v>
      </c>
      <c r="AP231">
        <v>0</v>
      </c>
      <c r="AQ231">
        <v>0</v>
      </c>
      <c r="AR231">
        <v>0.1</v>
      </c>
      <c r="AS231">
        <v>94790</v>
      </c>
      <c r="AT231">
        <v>0</v>
      </c>
      <c r="AU231">
        <v>0</v>
      </c>
      <c r="AV231">
        <v>0</v>
      </c>
      <c r="AW231">
        <v>0</v>
      </c>
      <c r="BA231">
        <v>4995</v>
      </c>
      <c r="BB231" t="s">
        <v>425</v>
      </c>
      <c r="BC231">
        <v>935.5</v>
      </c>
      <c r="BD231">
        <v>938.1</v>
      </c>
    </row>
    <row r="232" spans="1:56" x14ac:dyDescent="0.25">
      <c r="A232">
        <v>4978</v>
      </c>
      <c r="B232" t="s">
        <v>424</v>
      </c>
      <c r="C232">
        <v>7.7691699999999999</v>
      </c>
      <c r="D232">
        <v>0.64009000000000005</v>
      </c>
      <c r="E232">
        <v>0.33</v>
      </c>
      <c r="F232">
        <v>0.69616</v>
      </c>
      <c r="G232">
        <v>0.13500000000000001</v>
      </c>
      <c r="H232">
        <v>0</v>
      </c>
      <c r="I232">
        <v>0.54022999999999999</v>
      </c>
      <c r="J232">
        <v>8.0651799999999998</v>
      </c>
      <c r="K232">
        <v>0.49419000000000002</v>
      </c>
      <c r="L232">
        <v>0.33</v>
      </c>
      <c r="M232">
        <v>0.65471999999999997</v>
      </c>
      <c r="N232">
        <v>0.13500000000000001</v>
      </c>
      <c r="O232">
        <v>0</v>
      </c>
      <c r="P232">
        <v>0.53169999999999995</v>
      </c>
      <c r="Q232">
        <v>9.51919</v>
      </c>
      <c r="R232">
        <v>0</v>
      </c>
      <c r="S232">
        <v>0.33</v>
      </c>
      <c r="T232">
        <v>0.35899999999999999</v>
      </c>
      <c r="U232">
        <v>0</v>
      </c>
      <c r="V232">
        <v>0</v>
      </c>
      <c r="W232">
        <v>0.22878999999999999</v>
      </c>
      <c r="X232">
        <v>9.0107999999999997</v>
      </c>
      <c r="Y232">
        <v>0</v>
      </c>
      <c r="Z232">
        <v>0.33</v>
      </c>
      <c r="AA232">
        <v>0.33681</v>
      </c>
      <c r="AB232">
        <v>0</v>
      </c>
      <c r="AC232">
        <v>0</v>
      </c>
      <c r="AD232">
        <v>0.59080999999999995</v>
      </c>
      <c r="AF232">
        <v>0.1</v>
      </c>
      <c r="AG232">
        <v>83841</v>
      </c>
      <c r="AH232">
        <v>0</v>
      </c>
      <c r="AI232">
        <v>0</v>
      </c>
      <c r="AJ232">
        <v>0.05</v>
      </c>
      <c r="AK232">
        <v>41921</v>
      </c>
      <c r="AL232">
        <v>0.1</v>
      </c>
      <c r="AM232">
        <v>72138</v>
      </c>
      <c r="AN232">
        <v>0</v>
      </c>
      <c r="AO232">
        <v>0</v>
      </c>
      <c r="AP232">
        <v>0.05</v>
      </c>
      <c r="AQ232">
        <v>36069</v>
      </c>
      <c r="AR232">
        <v>0.1</v>
      </c>
      <c r="AS232">
        <v>71380</v>
      </c>
      <c r="AT232">
        <v>0</v>
      </c>
      <c r="AU232">
        <v>0</v>
      </c>
      <c r="AV232">
        <v>0.05</v>
      </c>
      <c r="AW232">
        <v>35690</v>
      </c>
      <c r="BA232">
        <v>5013</v>
      </c>
      <c r="BB232" t="s">
        <v>426</v>
      </c>
      <c r="BC232">
        <v>2388</v>
      </c>
      <c r="BD232">
        <v>2423.1</v>
      </c>
    </row>
    <row r="233" spans="1:56" x14ac:dyDescent="0.25">
      <c r="A233">
        <v>4995</v>
      </c>
      <c r="B233" t="s">
        <v>425</v>
      </c>
      <c r="C233">
        <v>10.203519999999999</v>
      </c>
      <c r="D233">
        <v>0.65586999999999995</v>
      </c>
      <c r="E233">
        <v>0.33</v>
      </c>
      <c r="F233">
        <v>1.1696500000000001</v>
      </c>
      <c r="G233">
        <v>0</v>
      </c>
      <c r="H233">
        <v>0</v>
      </c>
      <c r="I233">
        <v>0</v>
      </c>
      <c r="J233">
        <v>10.336740000000001</v>
      </c>
      <c r="K233">
        <v>1.39632</v>
      </c>
      <c r="L233">
        <v>0.33</v>
      </c>
      <c r="M233">
        <v>1.1791100000000001</v>
      </c>
      <c r="N233">
        <v>0</v>
      </c>
      <c r="O233">
        <v>0</v>
      </c>
      <c r="P233">
        <v>0</v>
      </c>
      <c r="Q233">
        <v>13.330550000000001</v>
      </c>
      <c r="R233">
        <v>0.90896999999999994</v>
      </c>
      <c r="S233">
        <v>0</v>
      </c>
      <c r="T233">
        <v>0.88787000000000005</v>
      </c>
      <c r="U233">
        <v>0</v>
      </c>
      <c r="V233">
        <v>0</v>
      </c>
      <c r="W233">
        <v>0</v>
      </c>
      <c r="X233">
        <v>14.168760000000001</v>
      </c>
      <c r="Y233">
        <v>0.73985999999999996</v>
      </c>
      <c r="Z233">
        <v>0</v>
      </c>
      <c r="AA233">
        <v>0.58555999999999997</v>
      </c>
      <c r="AB233">
        <v>0</v>
      </c>
      <c r="AC233">
        <v>0</v>
      </c>
      <c r="AD233">
        <v>0</v>
      </c>
      <c r="AF233">
        <v>0.01</v>
      </c>
      <c r="AG233">
        <v>48906</v>
      </c>
      <c r="AH233">
        <v>0</v>
      </c>
      <c r="AI233">
        <v>0</v>
      </c>
      <c r="AJ233">
        <v>0.01</v>
      </c>
      <c r="AK233">
        <v>48906</v>
      </c>
      <c r="AL233">
        <v>0.03</v>
      </c>
      <c r="AM233">
        <v>131964</v>
      </c>
      <c r="AN233">
        <v>0</v>
      </c>
      <c r="AO233">
        <v>0</v>
      </c>
      <c r="AP233">
        <v>0.03</v>
      </c>
      <c r="AQ233">
        <v>131964</v>
      </c>
      <c r="AR233">
        <v>0.03</v>
      </c>
      <c r="AS233">
        <v>129373</v>
      </c>
      <c r="AT233">
        <v>0</v>
      </c>
      <c r="AU233">
        <v>0</v>
      </c>
      <c r="AV233">
        <v>0.03</v>
      </c>
      <c r="AW233">
        <v>129373</v>
      </c>
      <c r="BA233">
        <v>5049</v>
      </c>
      <c r="BB233" t="s">
        <v>427</v>
      </c>
      <c r="BC233">
        <v>4531.2</v>
      </c>
      <c r="BD233">
        <v>4577.3999999999996</v>
      </c>
    </row>
    <row r="234" spans="1:56" x14ac:dyDescent="0.25">
      <c r="A234">
        <v>5013</v>
      </c>
      <c r="B234" t="s">
        <v>426</v>
      </c>
      <c r="C234">
        <v>12.583690000000001</v>
      </c>
      <c r="D234">
        <v>1.51624</v>
      </c>
      <c r="E234">
        <v>0.33</v>
      </c>
      <c r="F234">
        <v>0.67</v>
      </c>
      <c r="G234">
        <v>0</v>
      </c>
      <c r="H234">
        <v>0</v>
      </c>
      <c r="I234">
        <v>0</v>
      </c>
      <c r="J234">
        <v>12.93296</v>
      </c>
      <c r="K234">
        <v>1.37019</v>
      </c>
      <c r="L234">
        <v>0.33</v>
      </c>
      <c r="M234">
        <v>0.67</v>
      </c>
      <c r="N234">
        <v>0</v>
      </c>
      <c r="O234">
        <v>0</v>
      </c>
      <c r="P234">
        <v>0</v>
      </c>
      <c r="Q234">
        <v>13.36209</v>
      </c>
      <c r="R234">
        <v>1.5449200000000001</v>
      </c>
      <c r="S234">
        <v>0.33</v>
      </c>
      <c r="T234">
        <v>0.67</v>
      </c>
      <c r="U234">
        <v>0</v>
      </c>
      <c r="V234">
        <v>0</v>
      </c>
      <c r="W234">
        <v>0</v>
      </c>
      <c r="X234">
        <v>15.016019999999999</v>
      </c>
      <c r="Y234">
        <v>0.82862999999999998</v>
      </c>
      <c r="Z234">
        <v>0.33</v>
      </c>
      <c r="AA234">
        <v>0.67</v>
      </c>
      <c r="AB234">
        <v>0</v>
      </c>
      <c r="AC234">
        <v>0</v>
      </c>
      <c r="AD234">
        <v>0</v>
      </c>
      <c r="AF234">
        <v>0.01</v>
      </c>
      <c r="AG234">
        <v>114415</v>
      </c>
      <c r="AH234">
        <v>0</v>
      </c>
      <c r="AI234">
        <v>0</v>
      </c>
      <c r="AJ234">
        <v>0</v>
      </c>
      <c r="AK234">
        <v>0</v>
      </c>
      <c r="AL234">
        <v>0.01</v>
      </c>
      <c r="AM234">
        <v>112715</v>
      </c>
      <c r="AN234">
        <v>0</v>
      </c>
      <c r="AO234">
        <v>0</v>
      </c>
      <c r="AP234">
        <v>0</v>
      </c>
      <c r="AQ234">
        <v>0</v>
      </c>
      <c r="AR234">
        <v>0.01</v>
      </c>
      <c r="AS234">
        <v>115376</v>
      </c>
      <c r="AT234">
        <v>0</v>
      </c>
      <c r="AU234">
        <v>0</v>
      </c>
      <c r="AV234">
        <v>0</v>
      </c>
      <c r="AW234">
        <v>0</v>
      </c>
      <c r="BA234">
        <v>5121</v>
      </c>
      <c r="BB234" t="s">
        <v>429</v>
      </c>
      <c r="BC234">
        <v>749.2</v>
      </c>
      <c r="BD234">
        <v>727.1</v>
      </c>
    </row>
    <row r="235" spans="1:56" x14ac:dyDescent="0.25">
      <c r="A235">
        <v>5049</v>
      </c>
      <c r="B235" t="s">
        <v>427</v>
      </c>
      <c r="C235">
        <v>12.79233</v>
      </c>
      <c r="D235">
        <v>0.76088</v>
      </c>
      <c r="E235">
        <v>0.33</v>
      </c>
      <c r="F235">
        <v>0</v>
      </c>
      <c r="G235">
        <v>0</v>
      </c>
      <c r="H235">
        <v>0</v>
      </c>
      <c r="I235">
        <v>0.85441999999999996</v>
      </c>
      <c r="J235">
        <v>12.493690000000001</v>
      </c>
      <c r="K235">
        <v>0.71026999999999996</v>
      </c>
      <c r="L235">
        <v>0.33</v>
      </c>
      <c r="M235">
        <v>0</v>
      </c>
      <c r="N235">
        <v>0</v>
      </c>
      <c r="O235">
        <v>0</v>
      </c>
      <c r="P235">
        <v>1.1245700000000001</v>
      </c>
      <c r="Q235">
        <v>12.885300000000001</v>
      </c>
      <c r="R235">
        <v>0.66220999999999997</v>
      </c>
      <c r="S235">
        <v>0</v>
      </c>
      <c r="T235">
        <v>0</v>
      </c>
      <c r="U235">
        <v>0</v>
      </c>
      <c r="V235">
        <v>0</v>
      </c>
      <c r="W235">
        <v>1.14164</v>
      </c>
      <c r="X235">
        <v>13.337949999999999</v>
      </c>
      <c r="Y235">
        <v>0.53769</v>
      </c>
      <c r="Z235">
        <v>0</v>
      </c>
      <c r="AA235">
        <v>0</v>
      </c>
      <c r="AB235">
        <v>0</v>
      </c>
      <c r="AC235">
        <v>0</v>
      </c>
      <c r="AD235">
        <v>0.92115000000000002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BA235">
        <v>5139</v>
      </c>
      <c r="BB235" t="s">
        <v>430</v>
      </c>
      <c r="BC235">
        <v>180.6</v>
      </c>
      <c r="BD235">
        <v>192</v>
      </c>
    </row>
    <row r="236" spans="1:56" x14ac:dyDescent="0.25">
      <c r="A236">
        <v>5121</v>
      </c>
      <c r="B236" t="s">
        <v>429</v>
      </c>
      <c r="C236">
        <v>8.6646000000000001</v>
      </c>
      <c r="D236">
        <v>0.74912000000000001</v>
      </c>
      <c r="E236">
        <v>0.33</v>
      </c>
      <c r="F236">
        <v>0.67</v>
      </c>
      <c r="G236">
        <v>0</v>
      </c>
      <c r="H236">
        <v>0</v>
      </c>
      <c r="I236">
        <v>2.37256</v>
      </c>
      <c r="J236">
        <v>10.064170000000001</v>
      </c>
      <c r="K236">
        <v>0.72767999999999999</v>
      </c>
      <c r="L236">
        <v>0.33</v>
      </c>
      <c r="M236">
        <v>0.67</v>
      </c>
      <c r="N236">
        <v>0</v>
      </c>
      <c r="O236">
        <v>0</v>
      </c>
      <c r="P236">
        <v>1.7419899999999999</v>
      </c>
      <c r="Q236">
        <v>10.70186</v>
      </c>
      <c r="R236">
        <v>0.54201999999999995</v>
      </c>
      <c r="S236">
        <v>0.33</v>
      </c>
      <c r="T236">
        <v>0.67</v>
      </c>
      <c r="U236">
        <v>0</v>
      </c>
      <c r="V236">
        <v>0</v>
      </c>
      <c r="W236">
        <v>1.6071899999999999</v>
      </c>
      <c r="X236">
        <v>11.02051</v>
      </c>
      <c r="Y236">
        <v>0.54652000000000001</v>
      </c>
      <c r="Z236">
        <v>0.33</v>
      </c>
      <c r="AA236">
        <v>0.67</v>
      </c>
      <c r="AB236">
        <v>0</v>
      </c>
      <c r="AC236">
        <v>0</v>
      </c>
      <c r="AD236">
        <v>1.3972100000000001</v>
      </c>
      <c r="AF236">
        <v>0.08</v>
      </c>
      <c r="AG236">
        <v>347427</v>
      </c>
      <c r="AH236">
        <v>0</v>
      </c>
      <c r="AI236">
        <v>0</v>
      </c>
      <c r="AJ236">
        <v>0</v>
      </c>
      <c r="AK236">
        <v>0</v>
      </c>
      <c r="AL236">
        <v>0.08</v>
      </c>
      <c r="AM236">
        <v>339863</v>
      </c>
      <c r="AN236">
        <v>0</v>
      </c>
      <c r="AO236">
        <v>0</v>
      </c>
      <c r="AP236">
        <v>0</v>
      </c>
      <c r="AQ236">
        <v>0</v>
      </c>
      <c r="AR236">
        <v>0.08</v>
      </c>
      <c r="AS236">
        <v>314532</v>
      </c>
      <c r="AT236">
        <v>0</v>
      </c>
      <c r="AU236">
        <v>0</v>
      </c>
      <c r="AV236">
        <v>0</v>
      </c>
      <c r="AW236">
        <v>0</v>
      </c>
      <c r="BA236">
        <v>5319</v>
      </c>
      <c r="BB236" t="s">
        <v>614</v>
      </c>
      <c r="BC236">
        <v>1025.5</v>
      </c>
      <c r="BD236">
        <v>1069.2</v>
      </c>
    </row>
    <row r="237" spans="1:56" x14ac:dyDescent="0.25">
      <c r="A237">
        <v>5139</v>
      </c>
      <c r="B237" t="s">
        <v>430</v>
      </c>
      <c r="C237">
        <v>8.2218</v>
      </c>
      <c r="D237">
        <v>1.4865600000000001</v>
      </c>
      <c r="E237">
        <v>0.33</v>
      </c>
      <c r="F237">
        <v>0.86</v>
      </c>
      <c r="G237">
        <v>0</v>
      </c>
      <c r="H237">
        <v>0</v>
      </c>
      <c r="I237">
        <v>0</v>
      </c>
      <c r="J237">
        <v>8.4188299999999998</v>
      </c>
      <c r="K237">
        <v>1.31199</v>
      </c>
      <c r="L237">
        <v>0.33</v>
      </c>
      <c r="M237">
        <v>0.86</v>
      </c>
      <c r="N237">
        <v>0</v>
      </c>
      <c r="O237">
        <v>0</v>
      </c>
      <c r="P237">
        <v>0</v>
      </c>
      <c r="Q237">
        <v>8.5652399999999993</v>
      </c>
      <c r="R237">
        <v>1.3838999999999999</v>
      </c>
      <c r="S237">
        <v>0.33</v>
      </c>
      <c r="T237">
        <v>0.86</v>
      </c>
      <c r="U237">
        <v>0</v>
      </c>
      <c r="V237">
        <v>0</v>
      </c>
      <c r="W237">
        <v>0</v>
      </c>
      <c r="X237">
        <v>9.9743399999999998</v>
      </c>
      <c r="Y237">
        <v>2.1170000000000001E-2</v>
      </c>
      <c r="Z237">
        <v>0.33</v>
      </c>
      <c r="AA237">
        <v>0.86</v>
      </c>
      <c r="AB237">
        <v>0</v>
      </c>
      <c r="AC237">
        <v>0</v>
      </c>
      <c r="AD237">
        <v>0</v>
      </c>
      <c r="AF237">
        <v>0.05</v>
      </c>
      <c r="AG237">
        <v>74261</v>
      </c>
      <c r="AH237">
        <v>0</v>
      </c>
      <c r="AI237">
        <v>0</v>
      </c>
      <c r="AJ237">
        <v>0</v>
      </c>
      <c r="AK237">
        <v>0</v>
      </c>
      <c r="AL237">
        <v>0.05</v>
      </c>
      <c r="AM237">
        <v>57050</v>
      </c>
      <c r="AN237">
        <v>0</v>
      </c>
      <c r="AO237">
        <v>0</v>
      </c>
      <c r="AP237">
        <v>0</v>
      </c>
      <c r="AQ237">
        <v>0</v>
      </c>
      <c r="AR237">
        <v>0.05</v>
      </c>
      <c r="AS237">
        <v>62173</v>
      </c>
      <c r="AT237">
        <v>0</v>
      </c>
      <c r="AU237">
        <v>0</v>
      </c>
      <c r="AV237">
        <v>0</v>
      </c>
      <c r="AW237">
        <v>0</v>
      </c>
      <c r="BA237">
        <v>5163</v>
      </c>
      <c r="BB237" t="s">
        <v>431</v>
      </c>
      <c r="BC237">
        <v>630.79999999999995</v>
      </c>
      <c r="BD237">
        <v>624</v>
      </c>
    </row>
    <row r="238" spans="1:56" x14ac:dyDescent="0.25">
      <c r="A238">
        <v>5157</v>
      </c>
      <c r="B238" t="s">
        <v>466</v>
      </c>
      <c r="C238">
        <v>10.18014</v>
      </c>
      <c r="D238">
        <v>1.10572</v>
      </c>
      <c r="E238">
        <v>0.33</v>
      </c>
      <c r="F238">
        <v>0.80112000000000005</v>
      </c>
      <c r="G238">
        <v>0</v>
      </c>
      <c r="H238">
        <v>0</v>
      </c>
      <c r="I238">
        <v>0</v>
      </c>
      <c r="J238">
        <v>10.876939999999999</v>
      </c>
      <c r="K238">
        <v>0.89876</v>
      </c>
      <c r="L238">
        <v>0.33</v>
      </c>
      <c r="M238">
        <v>0.85733999999999999</v>
      </c>
      <c r="N238">
        <v>0</v>
      </c>
      <c r="O238">
        <v>0</v>
      </c>
      <c r="P238">
        <v>0</v>
      </c>
      <c r="Q238">
        <v>11.12289</v>
      </c>
      <c r="R238">
        <v>0.62846000000000002</v>
      </c>
      <c r="S238">
        <v>0.33</v>
      </c>
      <c r="T238">
        <v>0.85936999999999997</v>
      </c>
      <c r="U238">
        <v>0</v>
      </c>
      <c r="V238">
        <v>0</v>
      </c>
      <c r="W238">
        <v>0</v>
      </c>
      <c r="X238">
        <v>10.862740000000001</v>
      </c>
      <c r="Y238">
        <v>0.97638999999999998</v>
      </c>
      <c r="Z238">
        <v>0.33</v>
      </c>
      <c r="AA238">
        <v>0.81108999999999998</v>
      </c>
      <c r="AB238">
        <v>0</v>
      </c>
      <c r="AC238">
        <v>0</v>
      </c>
      <c r="AD238">
        <v>0</v>
      </c>
      <c r="AF238">
        <v>0.06</v>
      </c>
      <c r="AG238">
        <v>220346</v>
      </c>
      <c r="AH238">
        <v>0</v>
      </c>
      <c r="AI238">
        <v>0</v>
      </c>
      <c r="AJ238">
        <v>0.04</v>
      </c>
      <c r="AK238">
        <v>146897</v>
      </c>
      <c r="AL238">
        <v>0.06</v>
      </c>
      <c r="AM238">
        <v>209756</v>
      </c>
      <c r="AN238">
        <v>0</v>
      </c>
      <c r="AO238">
        <v>0</v>
      </c>
      <c r="AP238">
        <v>0.04</v>
      </c>
      <c r="AQ238">
        <v>139837</v>
      </c>
      <c r="AR238">
        <v>0.06</v>
      </c>
      <c r="AS238">
        <v>212331</v>
      </c>
      <c r="AT238">
        <v>0</v>
      </c>
      <c r="AU238">
        <v>0</v>
      </c>
      <c r="AV238">
        <v>0.04</v>
      </c>
      <c r="AW238">
        <v>141554</v>
      </c>
      <c r="BA238">
        <v>5166</v>
      </c>
      <c r="BB238" t="s">
        <v>432</v>
      </c>
      <c r="BC238">
        <v>2190.3000000000002</v>
      </c>
      <c r="BD238">
        <v>2131.9</v>
      </c>
    </row>
    <row r="239" spans="1:56" x14ac:dyDescent="0.25">
      <c r="A239">
        <v>5163</v>
      </c>
      <c r="B239" t="s">
        <v>431</v>
      </c>
      <c r="C239">
        <v>8.7468800000000009</v>
      </c>
      <c r="D239">
        <v>2.1759900000000001</v>
      </c>
      <c r="E239">
        <v>0.33</v>
      </c>
      <c r="F239">
        <v>0.27662999999999999</v>
      </c>
      <c r="G239">
        <v>0</v>
      </c>
      <c r="H239">
        <v>0</v>
      </c>
      <c r="I239">
        <v>0</v>
      </c>
      <c r="J239">
        <v>8.9946000000000002</v>
      </c>
      <c r="K239">
        <v>1.7302500000000001</v>
      </c>
      <c r="L239">
        <v>0.33</v>
      </c>
      <c r="M239">
        <v>0.34797</v>
      </c>
      <c r="N239">
        <v>0</v>
      </c>
      <c r="O239">
        <v>0</v>
      </c>
      <c r="P239">
        <v>0</v>
      </c>
      <c r="Q239">
        <v>9.1280000000000001</v>
      </c>
      <c r="R239">
        <v>1.7437400000000001</v>
      </c>
      <c r="S239">
        <v>0.33</v>
      </c>
      <c r="T239">
        <v>0.33217999999999998</v>
      </c>
      <c r="U239">
        <v>0</v>
      </c>
      <c r="V239">
        <v>0</v>
      </c>
      <c r="W239">
        <v>0</v>
      </c>
      <c r="X239">
        <v>13.939500000000001</v>
      </c>
      <c r="Y239">
        <v>1.0368599999999999</v>
      </c>
      <c r="Z239">
        <v>0.33</v>
      </c>
      <c r="AA239">
        <v>0.31803999999999999</v>
      </c>
      <c r="AB239">
        <v>0</v>
      </c>
      <c r="AC239">
        <v>0</v>
      </c>
      <c r="AD239">
        <v>0</v>
      </c>
      <c r="AF239">
        <v>0.05</v>
      </c>
      <c r="AG239">
        <v>124080</v>
      </c>
      <c r="AH239">
        <v>0</v>
      </c>
      <c r="AI239">
        <v>0</v>
      </c>
      <c r="AJ239">
        <v>0.03</v>
      </c>
      <c r="AK239">
        <v>74448</v>
      </c>
      <c r="AL239">
        <v>0.05</v>
      </c>
      <c r="AM239">
        <v>125319</v>
      </c>
      <c r="AN239">
        <v>0</v>
      </c>
      <c r="AO239">
        <v>0</v>
      </c>
      <c r="AP239">
        <v>0.03</v>
      </c>
      <c r="AQ239">
        <v>75191</v>
      </c>
      <c r="AR239">
        <v>0.05</v>
      </c>
      <c r="AS239">
        <v>127293</v>
      </c>
      <c r="AT239">
        <v>0</v>
      </c>
      <c r="AU239">
        <v>0</v>
      </c>
      <c r="AV239">
        <v>0.03</v>
      </c>
      <c r="AW239">
        <v>76376</v>
      </c>
      <c r="BA239">
        <v>5184</v>
      </c>
      <c r="BB239" t="s">
        <v>433</v>
      </c>
      <c r="BC239">
        <v>1848.3</v>
      </c>
      <c r="BD239">
        <v>1836.3</v>
      </c>
    </row>
    <row r="240" spans="1:56" x14ac:dyDescent="0.25">
      <c r="A240">
        <v>5166</v>
      </c>
      <c r="B240" t="s">
        <v>432</v>
      </c>
      <c r="C240">
        <v>10.10417</v>
      </c>
      <c r="D240">
        <v>0.87612999999999996</v>
      </c>
      <c r="E240">
        <v>0.33</v>
      </c>
      <c r="F240">
        <v>0.67</v>
      </c>
      <c r="G240">
        <v>0</v>
      </c>
      <c r="H240">
        <v>0</v>
      </c>
      <c r="I240">
        <v>2.72</v>
      </c>
      <c r="J240">
        <v>9.7898499999999995</v>
      </c>
      <c r="K240">
        <v>0.84687999999999997</v>
      </c>
      <c r="L240">
        <v>0.33</v>
      </c>
      <c r="M240">
        <v>0.67</v>
      </c>
      <c r="N240">
        <v>0</v>
      </c>
      <c r="O240">
        <v>0</v>
      </c>
      <c r="P240">
        <v>2.7284199999999998</v>
      </c>
      <c r="Q240">
        <v>10.24006</v>
      </c>
      <c r="R240">
        <v>0.72968</v>
      </c>
      <c r="S240">
        <v>0.33</v>
      </c>
      <c r="T240">
        <v>0.67</v>
      </c>
      <c r="U240">
        <v>0</v>
      </c>
      <c r="V240">
        <v>0</v>
      </c>
      <c r="W240">
        <v>2.2292800000000002</v>
      </c>
      <c r="X240">
        <v>10.795439999999999</v>
      </c>
      <c r="Y240">
        <v>0.7238</v>
      </c>
      <c r="Z240">
        <v>0.33</v>
      </c>
      <c r="AA240">
        <v>0.67</v>
      </c>
      <c r="AB240">
        <v>0</v>
      </c>
      <c r="AC240">
        <v>0</v>
      </c>
      <c r="AD240">
        <v>1.69509</v>
      </c>
      <c r="AF240">
        <v>0.05</v>
      </c>
      <c r="AG240">
        <v>761625</v>
      </c>
      <c r="AH240">
        <v>0</v>
      </c>
      <c r="AI240">
        <v>0</v>
      </c>
      <c r="AJ240">
        <v>0</v>
      </c>
      <c r="AK240">
        <v>0</v>
      </c>
      <c r="AL240">
        <v>0.05</v>
      </c>
      <c r="AM240">
        <v>720618</v>
      </c>
      <c r="AN240">
        <v>0</v>
      </c>
      <c r="AO240">
        <v>0</v>
      </c>
      <c r="AP240">
        <v>0</v>
      </c>
      <c r="AQ240">
        <v>0</v>
      </c>
      <c r="AR240">
        <v>0.05</v>
      </c>
      <c r="AS240">
        <v>694728</v>
      </c>
      <c r="AT240">
        <v>0</v>
      </c>
      <c r="AU240">
        <v>0</v>
      </c>
      <c r="AV240">
        <v>0</v>
      </c>
      <c r="AW240">
        <v>0</v>
      </c>
      <c r="BA240">
        <v>5250</v>
      </c>
      <c r="BB240" t="s">
        <v>434</v>
      </c>
      <c r="BC240">
        <v>4230</v>
      </c>
      <c r="BD240">
        <v>4288.6000000000004</v>
      </c>
    </row>
    <row r="241" spans="1:56" x14ac:dyDescent="0.25">
      <c r="A241">
        <v>5184</v>
      </c>
      <c r="B241" t="s">
        <v>433</v>
      </c>
      <c r="C241">
        <v>12.8598</v>
      </c>
      <c r="D241">
        <v>0.49107000000000001</v>
      </c>
      <c r="E241">
        <v>0.33</v>
      </c>
      <c r="F241">
        <v>0.29108000000000001</v>
      </c>
      <c r="G241">
        <v>0</v>
      </c>
      <c r="H241">
        <v>0</v>
      </c>
      <c r="I241">
        <v>4.0452300000000001</v>
      </c>
      <c r="J241">
        <v>12.98298</v>
      </c>
      <c r="K241">
        <v>1.1780299999999999</v>
      </c>
      <c r="L241">
        <v>0.33</v>
      </c>
      <c r="M241">
        <v>0.43385000000000001</v>
      </c>
      <c r="N241">
        <v>0</v>
      </c>
      <c r="O241">
        <v>0</v>
      </c>
      <c r="P241">
        <v>3.8919899999999998</v>
      </c>
      <c r="Q241">
        <v>13.046799999999999</v>
      </c>
      <c r="R241">
        <v>1.57687</v>
      </c>
      <c r="S241">
        <v>0.33</v>
      </c>
      <c r="T241">
        <v>0.41932000000000003</v>
      </c>
      <c r="U241">
        <v>0</v>
      </c>
      <c r="V241">
        <v>0</v>
      </c>
      <c r="W241">
        <v>4.0442099999999996</v>
      </c>
      <c r="X241">
        <v>17.06269</v>
      </c>
      <c r="Y241">
        <v>1.59616</v>
      </c>
      <c r="Z241">
        <v>0.33</v>
      </c>
      <c r="AA241">
        <v>0.43378</v>
      </c>
      <c r="AB241">
        <v>0</v>
      </c>
      <c r="AC241">
        <v>0</v>
      </c>
      <c r="AD241">
        <v>2.1769500000000002</v>
      </c>
      <c r="AF241">
        <v>0</v>
      </c>
      <c r="AG241">
        <v>0</v>
      </c>
      <c r="AH241">
        <v>0</v>
      </c>
      <c r="AI241">
        <v>0</v>
      </c>
      <c r="AJ241">
        <v>0.03</v>
      </c>
      <c r="AK241">
        <v>189226</v>
      </c>
      <c r="AL241">
        <v>0</v>
      </c>
      <c r="AM241">
        <v>0</v>
      </c>
      <c r="AN241">
        <v>0</v>
      </c>
      <c r="AO241">
        <v>0</v>
      </c>
      <c r="AP241">
        <v>0.03</v>
      </c>
      <c r="AQ241">
        <v>187043</v>
      </c>
      <c r="AR241">
        <v>0</v>
      </c>
      <c r="AS241">
        <v>0</v>
      </c>
      <c r="AT241">
        <v>0</v>
      </c>
      <c r="AU241">
        <v>0</v>
      </c>
      <c r="AV241">
        <v>0.03</v>
      </c>
      <c r="AW241">
        <v>186383</v>
      </c>
      <c r="BA241">
        <v>5256</v>
      </c>
      <c r="BB241" t="s">
        <v>435</v>
      </c>
      <c r="BC241">
        <v>636.20000000000005</v>
      </c>
      <c r="BD241">
        <v>641.29999999999995</v>
      </c>
    </row>
    <row r="242" spans="1:56" x14ac:dyDescent="0.25">
      <c r="A242">
        <v>5250</v>
      </c>
      <c r="B242" t="s">
        <v>434</v>
      </c>
      <c r="C242">
        <v>12.28941</v>
      </c>
      <c r="D242">
        <v>0.53468000000000004</v>
      </c>
      <c r="E242">
        <v>0.33</v>
      </c>
      <c r="F242">
        <v>1.34</v>
      </c>
      <c r="G242">
        <v>0</v>
      </c>
      <c r="H242">
        <v>0</v>
      </c>
      <c r="I242">
        <v>0</v>
      </c>
      <c r="J242">
        <v>12.536250000000001</v>
      </c>
      <c r="K242">
        <v>0.53468000000000004</v>
      </c>
      <c r="L242">
        <v>0.33</v>
      </c>
      <c r="M242">
        <v>1.34</v>
      </c>
      <c r="N242">
        <v>0</v>
      </c>
      <c r="O242">
        <v>0</v>
      </c>
      <c r="P242">
        <v>0</v>
      </c>
      <c r="Q242">
        <v>12.43624</v>
      </c>
      <c r="R242">
        <v>0.53468000000000004</v>
      </c>
      <c r="S242">
        <v>0.33</v>
      </c>
      <c r="T242">
        <v>1.34</v>
      </c>
      <c r="U242">
        <v>0</v>
      </c>
      <c r="V242">
        <v>0</v>
      </c>
      <c r="W242">
        <v>0</v>
      </c>
      <c r="X242">
        <v>12.533609999999999</v>
      </c>
      <c r="Y242">
        <v>0.53468000000000004</v>
      </c>
      <c r="Z242">
        <v>0.33</v>
      </c>
      <c r="AA242">
        <v>1.34</v>
      </c>
      <c r="AB242">
        <v>0</v>
      </c>
      <c r="AC242">
        <v>0</v>
      </c>
      <c r="AD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BA242">
        <v>5283</v>
      </c>
      <c r="BB242" t="s">
        <v>613</v>
      </c>
      <c r="BC242">
        <v>703.5</v>
      </c>
      <c r="BD242">
        <v>704.2</v>
      </c>
    </row>
    <row r="243" spans="1:56" x14ac:dyDescent="0.25">
      <c r="A243">
        <v>5256</v>
      </c>
      <c r="B243" t="s">
        <v>435</v>
      </c>
      <c r="C243">
        <v>12.33771</v>
      </c>
      <c r="D243">
        <v>1.3024</v>
      </c>
      <c r="E243">
        <v>0.33</v>
      </c>
      <c r="F243">
        <v>1.34</v>
      </c>
      <c r="G243">
        <v>0</v>
      </c>
      <c r="H243">
        <v>0</v>
      </c>
      <c r="I243">
        <v>0</v>
      </c>
      <c r="J243">
        <v>10.25826</v>
      </c>
      <c r="K243">
        <v>1.66384</v>
      </c>
      <c r="L243">
        <v>0.33</v>
      </c>
      <c r="M243">
        <v>1.34</v>
      </c>
      <c r="N243">
        <v>0</v>
      </c>
      <c r="O243">
        <v>0</v>
      </c>
      <c r="P243">
        <v>0</v>
      </c>
      <c r="Q243">
        <v>10.79982</v>
      </c>
      <c r="R243">
        <v>1.74102</v>
      </c>
      <c r="S243">
        <v>0.33</v>
      </c>
      <c r="T243">
        <v>1.34</v>
      </c>
      <c r="U243">
        <v>0</v>
      </c>
      <c r="V243">
        <v>0</v>
      </c>
      <c r="W243">
        <v>0</v>
      </c>
      <c r="X243">
        <v>11.668939999999999</v>
      </c>
      <c r="Y243">
        <v>1.50359</v>
      </c>
      <c r="Z243">
        <v>0.33</v>
      </c>
      <c r="AA243">
        <v>1.34</v>
      </c>
      <c r="AB243">
        <v>0</v>
      </c>
      <c r="AC243">
        <v>0</v>
      </c>
      <c r="AD243">
        <v>0</v>
      </c>
      <c r="AF243">
        <v>0.1</v>
      </c>
      <c r="AG243">
        <v>250452</v>
      </c>
      <c r="AH243">
        <v>0</v>
      </c>
      <c r="AI243">
        <v>0</v>
      </c>
      <c r="AJ243">
        <v>0</v>
      </c>
      <c r="AK243">
        <v>0</v>
      </c>
      <c r="AL243">
        <v>0.1</v>
      </c>
      <c r="AM243">
        <v>248444</v>
      </c>
      <c r="AN243">
        <v>0</v>
      </c>
      <c r="AO243">
        <v>0</v>
      </c>
      <c r="AP243">
        <v>0</v>
      </c>
      <c r="AQ243">
        <v>0</v>
      </c>
      <c r="AR243">
        <v>0.1</v>
      </c>
      <c r="AS243">
        <v>239068</v>
      </c>
      <c r="AT243">
        <v>0</v>
      </c>
      <c r="AU243">
        <v>0</v>
      </c>
      <c r="AV243">
        <v>0</v>
      </c>
      <c r="AW243">
        <v>0</v>
      </c>
      <c r="BA243">
        <v>5310</v>
      </c>
      <c r="BB243" t="s">
        <v>437</v>
      </c>
      <c r="BC243">
        <v>608.20000000000005</v>
      </c>
      <c r="BD243">
        <v>659.3</v>
      </c>
    </row>
    <row r="244" spans="1:56" x14ac:dyDescent="0.25">
      <c r="A244">
        <v>5283</v>
      </c>
      <c r="B244" t="s">
        <v>613</v>
      </c>
      <c r="C244">
        <v>7.8359699999999997</v>
      </c>
      <c r="D244">
        <v>0.31190000000000001</v>
      </c>
      <c r="E244">
        <v>0.33</v>
      </c>
      <c r="F244">
        <v>0.67</v>
      </c>
      <c r="G244">
        <v>0</v>
      </c>
      <c r="H244">
        <v>0</v>
      </c>
      <c r="I244">
        <v>3.9345400000000001</v>
      </c>
      <c r="J244">
        <v>7.6910999999999996</v>
      </c>
      <c r="K244">
        <v>0.65715999999999997</v>
      </c>
      <c r="L244">
        <v>0.33</v>
      </c>
      <c r="M244">
        <v>0.67</v>
      </c>
      <c r="N244">
        <v>0</v>
      </c>
      <c r="O244">
        <v>0</v>
      </c>
      <c r="P244">
        <v>3.6427999999999998</v>
      </c>
      <c r="Q244">
        <v>8.5218100000000003</v>
      </c>
      <c r="R244">
        <v>0.94730000000000003</v>
      </c>
      <c r="S244">
        <v>0.33</v>
      </c>
      <c r="T244">
        <v>0.67</v>
      </c>
      <c r="U244">
        <v>0</v>
      </c>
      <c r="V244">
        <v>0</v>
      </c>
      <c r="W244">
        <v>3.1376400000000002</v>
      </c>
      <c r="X244">
        <v>11.30358</v>
      </c>
      <c r="Y244">
        <v>0.68411999999999995</v>
      </c>
      <c r="Z244">
        <v>0.33</v>
      </c>
      <c r="AA244">
        <v>0.67</v>
      </c>
      <c r="AB244">
        <v>0</v>
      </c>
      <c r="AC244">
        <v>0</v>
      </c>
      <c r="AD244">
        <v>2.4932699999999999</v>
      </c>
      <c r="AF244">
        <v>0.01</v>
      </c>
      <c r="AG244">
        <v>44110</v>
      </c>
      <c r="AH244">
        <v>0</v>
      </c>
      <c r="AI244">
        <v>0</v>
      </c>
      <c r="AJ244">
        <v>0</v>
      </c>
      <c r="AK244">
        <v>0</v>
      </c>
      <c r="AL244">
        <v>0.01</v>
      </c>
      <c r="AM244">
        <v>40178</v>
      </c>
      <c r="AN244">
        <v>0</v>
      </c>
      <c r="AO244">
        <v>0</v>
      </c>
      <c r="AP244">
        <v>0</v>
      </c>
      <c r="AQ244">
        <v>0</v>
      </c>
      <c r="AR244">
        <v>0.08</v>
      </c>
      <c r="AS244">
        <v>227364</v>
      </c>
      <c r="AT244">
        <v>0</v>
      </c>
      <c r="AU244">
        <v>0</v>
      </c>
      <c r="AV244">
        <v>0</v>
      </c>
      <c r="AW244">
        <v>0</v>
      </c>
      <c r="BA244">
        <v>5323</v>
      </c>
      <c r="BB244" t="s">
        <v>438</v>
      </c>
      <c r="BC244">
        <v>606</v>
      </c>
      <c r="BD244">
        <v>581.4</v>
      </c>
    </row>
    <row r="245" spans="1:56" x14ac:dyDescent="0.25">
      <c r="A245">
        <v>5310</v>
      </c>
      <c r="B245" t="s">
        <v>437</v>
      </c>
      <c r="C245">
        <v>12.02521</v>
      </c>
      <c r="D245">
        <v>1.43546</v>
      </c>
      <c r="E245">
        <v>0.33</v>
      </c>
      <c r="F245">
        <v>1.07544</v>
      </c>
      <c r="G245">
        <v>0</v>
      </c>
      <c r="H245">
        <v>0</v>
      </c>
      <c r="I245">
        <v>0</v>
      </c>
      <c r="J245">
        <v>12.07474</v>
      </c>
      <c r="K245">
        <v>1.2959400000000001</v>
      </c>
      <c r="L245">
        <v>0.33</v>
      </c>
      <c r="M245">
        <v>1.2240899999999999</v>
      </c>
      <c r="N245">
        <v>0</v>
      </c>
      <c r="O245">
        <v>0</v>
      </c>
      <c r="P245">
        <v>0</v>
      </c>
      <c r="Q245">
        <v>12.26276</v>
      </c>
      <c r="R245">
        <v>0.79371000000000003</v>
      </c>
      <c r="S245">
        <v>0.33</v>
      </c>
      <c r="T245">
        <v>1.23241</v>
      </c>
      <c r="U245">
        <v>0</v>
      </c>
      <c r="V245">
        <v>0</v>
      </c>
      <c r="W245">
        <v>0</v>
      </c>
      <c r="X245">
        <v>12.24362</v>
      </c>
      <c r="Y245">
        <v>0.65173999999999999</v>
      </c>
      <c r="Z245">
        <v>0.33</v>
      </c>
      <c r="AA245">
        <v>1.24464</v>
      </c>
      <c r="AB245">
        <v>0</v>
      </c>
      <c r="AC245">
        <v>0</v>
      </c>
      <c r="AD245">
        <v>0</v>
      </c>
      <c r="AF245">
        <v>0.14000000000000001</v>
      </c>
      <c r="AG245">
        <v>258682</v>
      </c>
      <c r="AH245">
        <v>0</v>
      </c>
      <c r="AI245">
        <v>0</v>
      </c>
      <c r="AJ245">
        <v>0.01</v>
      </c>
      <c r="AK245">
        <v>18477</v>
      </c>
      <c r="AL245">
        <v>0.14000000000000001</v>
      </c>
      <c r="AM245">
        <v>245517</v>
      </c>
      <c r="AN245">
        <v>0</v>
      </c>
      <c r="AO245">
        <v>0</v>
      </c>
      <c r="AP245">
        <v>0.01</v>
      </c>
      <c r="AQ245">
        <v>17537</v>
      </c>
      <c r="AR245">
        <v>0.16</v>
      </c>
      <c r="AS245">
        <v>248003</v>
      </c>
      <c r="AT245">
        <v>0</v>
      </c>
      <c r="AU245">
        <v>0</v>
      </c>
      <c r="AV245">
        <v>0.01</v>
      </c>
      <c r="AW245">
        <v>15500</v>
      </c>
      <c r="BA245">
        <v>5463</v>
      </c>
      <c r="BB245" t="s">
        <v>440</v>
      </c>
      <c r="BC245">
        <v>1206.8</v>
      </c>
      <c r="BD245">
        <v>1166.5</v>
      </c>
    </row>
    <row r="246" spans="1:56" x14ac:dyDescent="0.25">
      <c r="A246">
        <v>5319</v>
      </c>
      <c r="B246" t="s">
        <v>614</v>
      </c>
      <c r="C246">
        <v>11.40424</v>
      </c>
      <c r="D246">
        <v>1.45581</v>
      </c>
      <c r="E246">
        <v>0.33</v>
      </c>
      <c r="F246">
        <v>0.67</v>
      </c>
      <c r="G246">
        <v>0</v>
      </c>
      <c r="H246">
        <v>0</v>
      </c>
      <c r="I246">
        <v>0</v>
      </c>
      <c r="J246">
        <v>12.320399999999999</v>
      </c>
      <c r="K246">
        <v>1.9711700000000001</v>
      </c>
      <c r="L246">
        <v>0.33</v>
      </c>
      <c r="M246">
        <v>0.67</v>
      </c>
      <c r="N246">
        <v>0</v>
      </c>
      <c r="O246">
        <v>0</v>
      </c>
      <c r="P246">
        <v>0</v>
      </c>
      <c r="Q246">
        <v>13.93741</v>
      </c>
      <c r="R246">
        <v>1.1734</v>
      </c>
      <c r="S246">
        <v>0.33</v>
      </c>
      <c r="T246">
        <v>0.67</v>
      </c>
      <c r="U246">
        <v>0</v>
      </c>
      <c r="V246">
        <v>0</v>
      </c>
      <c r="W246">
        <v>0</v>
      </c>
      <c r="X246">
        <v>13.7552</v>
      </c>
      <c r="Y246">
        <v>1.2138899999999999</v>
      </c>
      <c r="Z246">
        <v>0.33</v>
      </c>
      <c r="AA246">
        <v>0.67</v>
      </c>
      <c r="AB246">
        <v>0</v>
      </c>
      <c r="AC246">
        <v>0</v>
      </c>
      <c r="AD246">
        <v>0</v>
      </c>
      <c r="AF246">
        <v>0.05</v>
      </c>
      <c r="AG246">
        <v>244715</v>
      </c>
      <c r="AH246">
        <v>0</v>
      </c>
      <c r="AI246">
        <v>0</v>
      </c>
      <c r="AJ246">
        <v>0</v>
      </c>
      <c r="AK246">
        <v>0</v>
      </c>
      <c r="AL246">
        <v>0.05</v>
      </c>
      <c r="AM246">
        <v>224097</v>
      </c>
      <c r="AN246">
        <v>0</v>
      </c>
      <c r="AO246">
        <v>0</v>
      </c>
      <c r="AP246">
        <v>0</v>
      </c>
      <c r="AQ246">
        <v>0</v>
      </c>
      <c r="AR246">
        <v>0.05</v>
      </c>
      <c r="AS246">
        <v>223060</v>
      </c>
      <c r="AT246">
        <v>0</v>
      </c>
      <c r="AU246">
        <v>0</v>
      </c>
      <c r="AV246">
        <v>0</v>
      </c>
      <c r="AW246">
        <v>0</v>
      </c>
      <c r="BA246">
        <v>5486</v>
      </c>
      <c r="BB246" t="s">
        <v>441</v>
      </c>
      <c r="BC246">
        <v>392.4</v>
      </c>
      <c r="BD246">
        <v>388.7</v>
      </c>
    </row>
    <row r="247" spans="1:56" x14ac:dyDescent="0.25">
      <c r="A247">
        <v>5323</v>
      </c>
      <c r="B247" t="s">
        <v>438</v>
      </c>
      <c r="C247">
        <v>8.0453499999999991</v>
      </c>
      <c r="D247">
        <v>0.88348000000000004</v>
      </c>
      <c r="E247">
        <v>0.33</v>
      </c>
      <c r="F247">
        <v>0</v>
      </c>
      <c r="G247">
        <v>0</v>
      </c>
      <c r="H247">
        <v>0</v>
      </c>
      <c r="I247">
        <v>0</v>
      </c>
      <c r="J247">
        <v>8.4451499999999999</v>
      </c>
      <c r="K247">
        <v>0.48075000000000001</v>
      </c>
      <c r="L247">
        <v>0.33</v>
      </c>
      <c r="M247">
        <v>0</v>
      </c>
      <c r="N247">
        <v>0</v>
      </c>
      <c r="O247">
        <v>0</v>
      </c>
      <c r="P247">
        <v>0</v>
      </c>
      <c r="Q247">
        <v>9.2534299999999998</v>
      </c>
      <c r="R247">
        <v>0.86680000000000001</v>
      </c>
      <c r="S247">
        <v>0.33</v>
      </c>
      <c r="T247">
        <v>0</v>
      </c>
      <c r="U247">
        <v>0</v>
      </c>
      <c r="V247">
        <v>0</v>
      </c>
      <c r="W247">
        <v>0</v>
      </c>
      <c r="X247">
        <v>12.478949999999999</v>
      </c>
      <c r="Y247">
        <v>1.02366</v>
      </c>
      <c r="Z247">
        <v>0.33</v>
      </c>
      <c r="AA247">
        <v>0</v>
      </c>
      <c r="AB247">
        <v>0</v>
      </c>
      <c r="AC247">
        <v>0</v>
      </c>
      <c r="AD247">
        <v>0</v>
      </c>
      <c r="AF247">
        <v>0.08</v>
      </c>
      <c r="AG247">
        <v>247435</v>
      </c>
      <c r="AH247">
        <v>0</v>
      </c>
      <c r="AI247">
        <v>0</v>
      </c>
      <c r="AJ247">
        <v>0</v>
      </c>
      <c r="AK247">
        <v>0</v>
      </c>
      <c r="AL247">
        <v>0.08</v>
      </c>
      <c r="AM247">
        <v>233138</v>
      </c>
      <c r="AN247">
        <v>0</v>
      </c>
      <c r="AO247">
        <v>0</v>
      </c>
      <c r="AP247">
        <v>0</v>
      </c>
      <c r="AQ247">
        <v>0</v>
      </c>
      <c r="AR247">
        <v>0.1</v>
      </c>
      <c r="AS247">
        <v>266482</v>
      </c>
      <c r="AT247">
        <v>0</v>
      </c>
      <c r="AU247">
        <v>0</v>
      </c>
      <c r="AV247">
        <v>0</v>
      </c>
      <c r="AW247">
        <v>0</v>
      </c>
      <c r="BA247">
        <v>5508</v>
      </c>
      <c r="BB247" t="s">
        <v>442</v>
      </c>
      <c r="BC247">
        <v>291.60000000000002</v>
      </c>
      <c r="BD247">
        <v>301.7</v>
      </c>
    </row>
    <row r="248" spans="1:56" x14ac:dyDescent="0.25">
      <c r="A248">
        <v>5463</v>
      </c>
      <c r="B248" t="s">
        <v>440</v>
      </c>
      <c r="C248">
        <v>10.68995</v>
      </c>
      <c r="D248">
        <v>2.7142900000000001</v>
      </c>
      <c r="E248">
        <v>0.33</v>
      </c>
      <c r="F248">
        <v>7.2470000000000007E-2</v>
      </c>
      <c r="G248">
        <v>0</v>
      </c>
      <c r="H248">
        <v>0</v>
      </c>
      <c r="I248">
        <v>2.1217899999999998</v>
      </c>
      <c r="J248">
        <v>13.03861</v>
      </c>
      <c r="K248">
        <v>2.9915699999999998</v>
      </c>
      <c r="L248">
        <v>0.33</v>
      </c>
      <c r="M248">
        <v>0.22792999999999999</v>
      </c>
      <c r="N248">
        <v>0</v>
      </c>
      <c r="O248">
        <v>0</v>
      </c>
      <c r="P248">
        <v>0</v>
      </c>
      <c r="Q248">
        <v>14.70284</v>
      </c>
      <c r="R248">
        <v>1.5467</v>
      </c>
      <c r="S248">
        <v>0.33</v>
      </c>
      <c r="T248">
        <v>0.21768999999999999</v>
      </c>
      <c r="U248">
        <v>0</v>
      </c>
      <c r="V248">
        <v>0</v>
      </c>
      <c r="W248">
        <v>0</v>
      </c>
      <c r="X248">
        <v>14.745939999999999</v>
      </c>
      <c r="Y248">
        <v>1.6222799999999999</v>
      </c>
      <c r="Z248">
        <v>0.33</v>
      </c>
      <c r="AA248">
        <v>0.18381</v>
      </c>
      <c r="AB248">
        <v>0</v>
      </c>
      <c r="AC248">
        <v>0</v>
      </c>
      <c r="AD248">
        <v>0</v>
      </c>
      <c r="AF248">
        <v>0.05</v>
      </c>
      <c r="AG248">
        <v>234974</v>
      </c>
      <c r="AH248">
        <v>0</v>
      </c>
      <c r="AI248">
        <v>0</v>
      </c>
      <c r="AJ248">
        <v>0.08</v>
      </c>
      <c r="AK248">
        <v>375958</v>
      </c>
      <c r="AL248">
        <v>0.11</v>
      </c>
      <c r="AM248">
        <v>506089</v>
      </c>
      <c r="AN248">
        <v>0</v>
      </c>
      <c r="AO248">
        <v>0</v>
      </c>
      <c r="AP248">
        <v>0.08</v>
      </c>
      <c r="AQ248">
        <v>368065</v>
      </c>
      <c r="AR248">
        <v>0.11</v>
      </c>
      <c r="AS248">
        <v>501302</v>
      </c>
      <c r="AT248">
        <v>0</v>
      </c>
      <c r="AU248">
        <v>0</v>
      </c>
      <c r="AV248">
        <v>0.08</v>
      </c>
      <c r="AW248">
        <v>364583</v>
      </c>
      <c r="BA248">
        <v>1975</v>
      </c>
      <c r="BB248" t="s">
        <v>443</v>
      </c>
      <c r="BC248">
        <v>419.7</v>
      </c>
      <c r="BD248">
        <v>422</v>
      </c>
    </row>
    <row r="249" spans="1:56" x14ac:dyDescent="0.25">
      <c r="A249">
        <v>5486</v>
      </c>
      <c r="B249" t="s">
        <v>441</v>
      </c>
      <c r="C249">
        <v>10.083830000000001</v>
      </c>
      <c r="D249">
        <v>0.77825</v>
      </c>
      <c r="E249">
        <v>0.33</v>
      </c>
      <c r="F249">
        <v>0</v>
      </c>
      <c r="G249">
        <v>0</v>
      </c>
      <c r="H249">
        <v>0</v>
      </c>
      <c r="I249">
        <v>0</v>
      </c>
      <c r="J249">
        <v>9.9199599999999997</v>
      </c>
      <c r="K249">
        <v>0.78412999999999999</v>
      </c>
      <c r="L249">
        <v>0.33</v>
      </c>
      <c r="M249">
        <v>0</v>
      </c>
      <c r="N249">
        <v>0</v>
      </c>
      <c r="O249">
        <v>0</v>
      </c>
      <c r="P249">
        <v>0</v>
      </c>
      <c r="Q249">
        <v>9.2824899999999992</v>
      </c>
      <c r="R249">
        <v>0.72843999999999998</v>
      </c>
      <c r="S249">
        <v>0.33</v>
      </c>
      <c r="T249">
        <v>1.34</v>
      </c>
      <c r="U249">
        <v>0</v>
      </c>
      <c r="V249">
        <v>0</v>
      </c>
      <c r="W249">
        <v>0</v>
      </c>
      <c r="X249">
        <v>9.3501799999999999</v>
      </c>
      <c r="Y249">
        <v>0.67998000000000003</v>
      </c>
      <c r="Z249">
        <v>0.33</v>
      </c>
      <c r="AA249">
        <v>1.34</v>
      </c>
      <c r="AB249">
        <v>0</v>
      </c>
      <c r="AC249">
        <v>0</v>
      </c>
      <c r="AD249">
        <v>0</v>
      </c>
      <c r="AF249">
        <v>7.0000000000000007E-2</v>
      </c>
      <c r="AG249">
        <v>172643</v>
      </c>
      <c r="AH249">
        <v>0</v>
      </c>
      <c r="AI249">
        <v>0</v>
      </c>
      <c r="AJ249">
        <v>0</v>
      </c>
      <c r="AK249">
        <v>0</v>
      </c>
      <c r="AL249">
        <v>7.0000000000000007E-2</v>
      </c>
      <c r="AM249">
        <v>198744</v>
      </c>
      <c r="AN249">
        <v>0</v>
      </c>
      <c r="AO249">
        <v>0</v>
      </c>
      <c r="AP249">
        <v>0</v>
      </c>
      <c r="AQ249">
        <v>0</v>
      </c>
      <c r="AR249">
        <v>0.08</v>
      </c>
      <c r="AS249">
        <v>182737</v>
      </c>
      <c r="AT249">
        <v>0</v>
      </c>
      <c r="AU249">
        <v>0</v>
      </c>
      <c r="AV249">
        <v>0</v>
      </c>
      <c r="AW249">
        <v>0</v>
      </c>
      <c r="BA249">
        <v>4824</v>
      </c>
      <c r="BB249" t="s">
        <v>444</v>
      </c>
      <c r="BC249">
        <v>678.7</v>
      </c>
      <c r="BD249">
        <v>713</v>
      </c>
    </row>
    <row r="250" spans="1:56" x14ac:dyDescent="0.25">
      <c r="A250">
        <v>5508</v>
      </c>
      <c r="B250" t="s">
        <v>442</v>
      </c>
      <c r="C250">
        <v>7.2133700000000003</v>
      </c>
      <c r="D250">
        <v>0.50612000000000001</v>
      </c>
      <c r="E250">
        <v>0.33</v>
      </c>
      <c r="F250">
        <v>0.62414999999999998</v>
      </c>
      <c r="G250">
        <v>0</v>
      </c>
      <c r="H250">
        <v>0</v>
      </c>
      <c r="I250">
        <v>0</v>
      </c>
      <c r="J250">
        <v>7.7660900000000002</v>
      </c>
      <c r="K250">
        <v>0.53776999999999997</v>
      </c>
      <c r="L250">
        <v>0.33</v>
      </c>
      <c r="M250">
        <v>0.59447000000000005</v>
      </c>
      <c r="N250">
        <v>0</v>
      </c>
      <c r="O250">
        <v>0</v>
      </c>
      <c r="P250">
        <v>0</v>
      </c>
      <c r="Q250">
        <v>8.22133</v>
      </c>
      <c r="R250">
        <v>0</v>
      </c>
      <c r="S250">
        <v>0.33</v>
      </c>
      <c r="T250">
        <v>0.25921</v>
      </c>
      <c r="U250">
        <v>0</v>
      </c>
      <c r="V250">
        <v>0</v>
      </c>
      <c r="W250">
        <v>0</v>
      </c>
      <c r="X250">
        <v>8.6575000000000006</v>
      </c>
      <c r="Y250">
        <v>0.59189999999999998</v>
      </c>
      <c r="Z250">
        <v>0.28949000000000003</v>
      </c>
      <c r="AA250">
        <v>0.23408000000000001</v>
      </c>
      <c r="AB250">
        <v>0</v>
      </c>
      <c r="AC250">
        <v>0</v>
      </c>
      <c r="AD250">
        <v>0</v>
      </c>
      <c r="AF250">
        <v>0.05</v>
      </c>
      <c r="AG250">
        <v>88199</v>
      </c>
      <c r="AH250">
        <v>0</v>
      </c>
      <c r="AI250">
        <v>0</v>
      </c>
      <c r="AJ250">
        <v>0.06</v>
      </c>
      <c r="AK250">
        <v>105839</v>
      </c>
      <c r="AL250">
        <v>0</v>
      </c>
      <c r="AM250">
        <v>0</v>
      </c>
      <c r="AN250">
        <v>0</v>
      </c>
      <c r="AO250">
        <v>0</v>
      </c>
      <c r="AP250">
        <v>0.11</v>
      </c>
      <c r="AQ250">
        <v>167547</v>
      </c>
      <c r="AR250">
        <v>0.06</v>
      </c>
      <c r="AS250">
        <v>79319</v>
      </c>
      <c r="AT250">
        <v>0</v>
      </c>
      <c r="AU250">
        <v>0</v>
      </c>
      <c r="AV250">
        <v>0.05</v>
      </c>
      <c r="AW250">
        <v>66099</v>
      </c>
      <c r="BA250">
        <v>5607</v>
      </c>
      <c r="BB250" t="s">
        <v>445</v>
      </c>
      <c r="BC250">
        <v>688.3</v>
      </c>
      <c r="BD250">
        <v>675.2</v>
      </c>
    </row>
    <row r="251" spans="1:56" x14ac:dyDescent="0.25">
      <c r="A251">
        <v>5607</v>
      </c>
      <c r="B251" t="s">
        <v>445</v>
      </c>
      <c r="C251">
        <v>10.56467</v>
      </c>
      <c r="D251">
        <v>1.1959599999999999</v>
      </c>
      <c r="E251">
        <v>0.33</v>
      </c>
      <c r="F251">
        <v>1</v>
      </c>
      <c r="G251">
        <v>0</v>
      </c>
      <c r="H251">
        <v>0</v>
      </c>
      <c r="I251">
        <v>1.9258299999999999</v>
      </c>
      <c r="J251">
        <v>11.384829999999999</v>
      </c>
      <c r="K251">
        <v>1.026</v>
      </c>
      <c r="L251">
        <v>0.33</v>
      </c>
      <c r="M251">
        <v>0.67</v>
      </c>
      <c r="N251">
        <v>0</v>
      </c>
      <c r="O251">
        <v>0</v>
      </c>
      <c r="P251">
        <v>2.2447900000000001</v>
      </c>
      <c r="Q251">
        <v>11.68473</v>
      </c>
      <c r="R251">
        <v>0.99683999999999995</v>
      </c>
      <c r="S251">
        <v>0.33</v>
      </c>
      <c r="T251">
        <v>0.67</v>
      </c>
      <c r="U251">
        <v>0</v>
      </c>
      <c r="V251">
        <v>0</v>
      </c>
      <c r="W251">
        <v>2.3301500000000002</v>
      </c>
      <c r="X251">
        <v>12.3367</v>
      </c>
      <c r="Y251">
        <v>1.3956</v>
      </c>
      <c r="Z251">
        <v>0.33</v>
      </c>
      <c r="AA251">
        <v>0.67</v>
      </c>
      <c r="AB251">
        <v>0</v>
      </c>
      <c r="AC251">
        <v>0</v>
      </c>
      <c r="AD251">
        <v>1.50023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BA251">
        <v>5643</v>
      </c>
      <c r="BB251" t="s">
        <v>446</v>
      </c>
      <c r="BC251">
        <v>966.4</v>
      </c>
      <c r="BD251">
        <v>977.2</v>
      </c>
    </row>
    <row r="252" spans="1:56" x14ac:dyDescent="0.25">
      <c r="A252">
        <v>5643</v>
      </c>
      <c r="B252" t="s">
        <v>446</v>
      </c>
      <c r="C252">
        <v>9.8487899999999993</v>
      </c>
      <c r="D252">
        <v>1.2928200000000001</v>
      </c>
      <c r="E252">
        <v>0.33</v>
      </c>
      <c r="F252">
        <v>0.86821999999999999</v>
      </c>
      <c r="G252">
        <v>0</v>
      </c>
      <c r="H252">
        <v>0</v>
      </c>
      <c r="I252">
        <v>0</v>
      </c>
      <c r="J252">
        <v>10.39202</v>
      </c>
      <c r="K252">
        <v>1.6393800000000001</v>
      </c>
      <c r="L252">
        <v>0.33</v>
      </c>
      <c r="M252">
        <v>0.96945999999999999</v>
      </c>
      <c r="N252">
        <v>0</v>
      </c>
      <c r="O252">
        <v>0</v>
      </c>
      <c r="P252">
        <v>0</v>
      </c>
      <c r="Q252">
        <v>12.37635</v>
      </c>
      <c r="R252">
        <v>1.3427899999999999</v>
      </c>
      <c r="S252">
        <v>0.33</v>
      </c>
      <c r="T252">
        <v>0.94593000000000005</v>
      </c>
      <c r="U252">
        <v>0</v>
      </c>
      <c r="V252">
        <v>0</v>
      </c>
      <c r="W252">
        <v>0</v>
      </c>
      <c r="X252">
        <v>13.69608</v>
      </c>
      <c r="Y252">
        <v>1.0077499999999999</v>
      </c>
      <c r="Z252">
        <v>0.33</v>
      </c>
      <c r="AA252">
        <v>0.90056000000000003</v>
      </c>
      <c r="AB252">
        <v>0</v>
      </c>
      <c r="AC252">
        <v>0</v>
      </c>
      <c r="AD252">
        <v>0</v>
      </c>
      <c r="AF252">
        <v>0.06</v>
      </c>
      <c r="AG252">
        <v>335073</v>
      </c>
      <c r="AH252">
        <v>0</v>
      </c>
      <c r="AI252">
        <v>0</v>
      </c>
      <c r="AJ252">
        <v>0.02</v>
      </c>
      <c r="AK252">
        <v>111691</v>
      </c>
      <c r="AL252">
        <v>0.06</v>
      </c>
      <c r="AM252">
        <v>340243</v>
      </c>
      <c r="AN252">
        <v>0</v>
      </c>
      <c r="AO252">
        <v>0</v>
      </c>
      <c r="AP252">
        <v>0.02</v>
      </c>
      <c r="AQ252">
        <v>113414</v>
      </c>
      <c r="AR252">
        <v>0.06</v>
      </c>
      <c r="AS252">
        <v>316399</v>
      </c>
      <c r="AT252">
        <v>0</v>
      </c>
      <c r="AU252">
        <v>0</v>
      </c>
      <c r="AV252">
        <v>0.02</v>
      </c>
      <c r="AW252">
        <v>105466</v>
      </c>
      <c r="BA252">
        <v>5697</v>
      </c>
      <c r="BB252" t="s">
        <v>447</v>
      </c>
      <c r="BC252">
        <v>472.1</v>
      </c>
      <c r="BD252">
        <v>453.4</v>
      </c>
    </row>
    <row r="253" spans="1:56" x14ac:dyDescent="0.25">
      <c r="A253">
        <v>5697</v>
      </c>
      <c r="B253" t="s">
        <v>447</v>
      </c>
      <c r="C253">
        <v>9.8881099999999993</v>
      </c>
      <c r="D253">
        <v>0.73738999999999999</v>
      </c>
      <c r="E253">
        <v>0.33</v>
      </c>
      <c r="F253">
        <v>0.67</v>
      </c>
      <c r="G253">
        <v>0</v>
      </c>
      <c r="H253">
        <v>0</v>
      </c>
      <c r="I253">
        <v>0</v>
      </c>
      <c r="J253">
        <v>9.9773800000000001</v>
      </c>
      <c r="K253">
        <v>1.01793</v>
      </c>
      <c r="L253">
        <v>0.33</v>
      </c>
      <c r="M253">
        <v>0.67</v>
      </c>
      <c r="N253">
        <v>0</v>
      </c>
      <c r="O253">
        <v>0</v>
      </c>
      <c r="P253">
        <v>0</v>
      </c>
      <c r="Q253">
        <v>11.666370000000001</v>
      </c>
      <c r="R253">
        <v>1.33369</v>
      </c>
      <c r="S253">
        <v>0.33</v>
      </c>
      <c r="T253">
        <v>0.67</v>
      </c>
      <c r="U253">
        <v>0</v>
      </c>
      <c r="V253">
        <v>0</v>
      </c>
      <c r="W253">
        <v>0</v>
      </c>
      <c r="X253">
        <v>11.88697</v>
      </c>
      <c r="Y253">
        <v>1.11087</v>
      </c>
      <c r="Z253">
        <v>0.33</v>
      </c>
      <c r="AA253">
        <v>0.67</v>
      </c>
      <c r="AB253">
        <v>0</v>
      </c>
      <c r="AC253">
        <v>0</v>
      </c>
      <c r="AD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BA253">
        <v>5724</v>
      </c>
      <c r="BB253" t="s">
        <v>448</v>
      </c>
      <c r="BC253">
        <v>244</v>
      </c>
      <c r="BD253">
        <v>243</v>
      </c>
    </row>
    <row r="254" spans="1:56" x14ac:dyDescent="0.25">
      <c r="A254">
        <v>5724</v>
      </c>
      <c r="B254" t="s">
        <v>448</v>
      </c>
      <c r="C254">
        <v>8.5058399999999992</v>
      </c>
      <c r="D254">
        <v>2.2453500000000002</v>
      </c>
      <c r="E254">
        <v>0.33</v>
      </c>
      <c r="F254">
        <v>0.67</v>
      </c>
      <c r="G254">
        <v>0</v>
      </c>
      <c r="H254">
        <v>0</v>
      </c>
      <c r="I254">
        <v>0</v>
      </c>
      <c r="J254">
        <v>10.862349999999999</v>
      </c>
      <c r="K254">
        <v>2.3785699999999999</v>
      </c>
      <c r="L254">
        <v>0.33</v>
      </c>
      <c r="M254">
        <v>0.67</v>
      </c>
      <c r="N254">
        <v>0</v>
      </c>
      <c r="O254">
        <v>0</v>
      </c>
      <c r="P254">
        <v>0</v>
      </c>
      <c r="Q254">
        <v>12.564109999999999</v>
      </c>
      <c r="R254">
        <v>1.42072</v>
      </c>
      <c r="S254">
        <v>0.33</v>
      </c>
      <c r="T254">
        <v>0.67</v>
      </c>
      <c r="U254">
        <v>0</v>
      </c>
      <c r="V254">
        <v>0</v>
      </c>
      <c r="W254">
        <v>0</v>
      </c>
      <c r="X254">
        <v>12.60144</v>
      </c>
      <c r="Y254">
        <v>1.377</v>
      </c>
      <c r="Z254">
        <v>0.33</v>
      </c>
      <c r="AA254">
        <v>0.67</v>
      </c>
      <c r="AB254">
        <v>0</v>
      </c>
      <c r="AC254">
        <v>0</v>
      </c>
      <c r="AD254">
        <v>0</v>
      </c>
      <c r="AF254">
        <v>0.11</v>
      </c>
      <c r="AG254">
        <v>116735</v>
      </c>
      <c r="AH254">
        <v>0</v>
      </c>
      <c r="AI254">
        <v>0</v>
      </c>
      <c r="AJ254">
        <v>0</v>
      </c>
      <c r="AK254">
        <v>0</v>
      </c>
      <c r="AL254">
        <v>0.13</v>
      </c>
      <c r="AM254">
        <v>122661</v>
      </c>
      <c r="AN254">
        <v>0</v>
      </c>
      <c r="AO254">
        <v>0</v>
      </c>
      <c r="AP254">
        <v>0</v>
      </c>
      <c r="AQ254">
        <v>0</v>
      </c>
      <c r="AR254">
        <v>0.13</v>
      </c>
      <c r="AS254">
        <v>118548</v>
      </c>
      <c r="AT254">
        <v>0</v>
      </c>
      <c r="AU254">
        <v>0</v>
      </c>
      <c r="AV254">
        <v>0</v>
      </c>
      <c r="AW254">
        <v>0</v>
      </c>
      <c r="BA254">
        <v>5805</v>
      </c>
      <c r="BB254" t="s">
        <v>449</v>
      </c>
      <c r="BC254">
        <v>1201.2</v>
      </c>
      <c r="BD254">
        <v>1162.3</v>
      </c>
    </row>
    <row r="255" spans="1:56" x14ac:dyDescent="0.25">
      <c r="A255">
        <v>5751</v>
      </c>
      <c r="B255" t="s">
        <v>476</v>
      </c>
      <c r="C255">
        <v>8.1049299999999995</v>
      </c>
      <c r="D255">
        <v>0.69154000000000004</v>
      </c>
      <c r="E255">
        <v>0.33</v>
      </c>
      <c r="F255">
        <v>0.67</v>
      </c>
      <c r="G255">
        <v>0</v>
      </c>
      <c r="H255">
        <v>0</v>
      </c>
      <c r="I255">
        <v>0</v>
      </c>
      <c r="J255">
        <v>8.4213699999999996</v>
      </c>
      <c r="K255">
        <v>0.71935000000000004</v>
      </c>
      <c r="L255">
        <v>0.33</v>
      </c>
      <c r="M255">
        <v>0.67</v>
      </c>
      <c r="N255">
        <v>0</v>
      </c>
      <c r="O255">
        <v>0</v>
      </c>
      <c r="P255">
        <v>0</v>
      </c>
      <c r="Q255">
        <v>8.8290299999999995</v>
      </c>
      <c r="R255">
        <v>0.74312</v>
      </c>
      <c r="S255">
        <v>0.33</v>
      </c>
      <c r="T255">
        <v>0.67</v>
      </c>
      <c r="U255">
        <v>0</v>
      </c>
      <c r="V255">
        <v>0</v>
      </c>
      <c r="W255">
        <v>0</v>
      </c>
      <c r="X255">
        <v>9.7148299999999992</v>
      </c>
      <c r="Y255">
        <v>0.77075000000000005</v>
      </c>
      <c r="Z255">
        <v>0.33</v>
      </c>
      <c r="AA255">
        <v>0.67</v>
      </c>
      <c r="AB255">
        <v>0</v>
      </c>
      <c r="AC255">
        <v>0</v>
      </c>
      <c r="AD255">
        <v>0</v>
      </c>
      <c r="AF255">
        <v>0.06</v>
      </c>
      <c r="AG255">
        <v>206788</v>
      </c>
      <c r="AH255">
        <v>0</v>
      </c>
      <c r="AI255">
        <v>0</v>
      </c>
      <c r="AJ255">
        <v>0</v>
      </c>
      <c r="AK255">
        <v>0</v>
      </c>
      <c r="AL255">
        <v>7.0000000000000007E-2</v>
      </c>
      <c r="AM255">
        <v>202524</v>
      </c>
      <c r="AN255">
        <v>0</v>
      </c>
      <c r="AO255">
        <v>0</v>
      </c>
      <c r="AP255">
        <v>0</v>
      </c>
      <c r="AQ255">
        <v>0</v>
      </c>
      <c r="AR255">
        <v>7.0000000000000007E-2</v>
      </c>
      <c r="AS255">
        <v>204399</v>
      </c>
      <c r="AT255">
        <v>0</v>
      </c>
      <c r="AU255">
        <v>0</v>
      </c>
      <c r="AV255">
        <v>0</v>
      </c>
      <c r="AW255">
        <v>0</v>
      </c>
      <c r="BA255">
        <v>5823</v>
      </c>
      <c r="BB255" t="s">
        <v>450</v>
      </c>
      <c r="BC255">
        <v>380.2</v>
      </c>
      <c r="BD255">
        <v>377.4</v>
      </c>
    </row>
    <row r="256" spans="1:56" x14ac:dyDescent="0.25">
      <c r="A256">
        <v>5805</v>
      </c>
      <c r="B256" t="s">
        <v>449</v>
      </c>
      <c r="C256">
        <v>9.4308300000000003</v>
      </c>
      <c r="D256">
        <v>0.98558999999999997</v>
      </c>
      <c r="E256">
        <v>0.33</v>
      </c>
      <c r="F256">
        <v>1.34</v>
      </c>
      <c r="G256">
        <v>0</v>
      </c>
      <c r="H256">
        <v>0</v>
      </c>
      <c r="I256">
        <v>0.79327000000000003</v>
      </c>
      <c r="J256">
        <v>8.9696200000000008</v>
      </c>
      <c r="K256">
        <v>0.61326999999999998</v>
      </c>
      <c r="L256">
        <v>0.33</v>
      </c>
      <c r="M256">
        <v>1.34</v>
      </c>
      <c r="N256">
        <v>0</v>
      </c>
      <c r="O256">
        <v>0</v>
      </c>
      <c r="P256">
        <v>1.6268199999999999</v>
      </c>
      <c r="Q256">
        <v>9.9706200000000003</v>
      </c>
      <c r="R256">
        <v>0.75410999999999995</v>
      </c>
      <c r="S256">
        <v>0.33</v>
      </c>
      <c r="T256">
        <v>1.34</v>
      </c>
      <c r="U256">
        <v>0</v>
      </c>
      <c r="V256">
        <v>0</v>
      </c>
      <c r="W256">
        <v>1.08521</v>
      </c>
      <c r="X256">
        <v>11.025460000000001</v>
      </c>
      <c r="Y256">
        <v>0.28999999999999998</v>
      </c>
      <c r="Z256">
        <v>0.33</v>
      </c>
      <c r="AA256">
        <v>1.34</v>
      </c>
      <c r="AB256">
        <v>0</v>
      </c>
      <c r="AC256">
        <v>0</v>
      </c>
      <c r="AD256">
        <v>0.99422999999999995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BA256">
        <v>5832</v>
      </c>
      <c r="BB256" t="s">
        <v>451</v>
      </c>
      <c r="BC256">
        <v>300.39999999999998</v>
      </c>
      <c r="BD256">
        <v>288</v>
      </c>
    </row>
    <row r="257" spans="1:56" x14ac:dyDescent="0.25">
      <c r="A257">
        <v>5823</v>
      </c>
      <c r="B257" t="s">
        <v>450</v>
      </c>
      <c r="C257">
        <v>9.8611400000000007</v>
      </c>
      <c r="D257">
        <v>1.9505699999999999</v>
      </c>
      <c r="E257">
        <v>0.33</v>
      </c>
      <c r="F257">
        <v>0.85962000000000005</v>
      </c>
      <c r="G257">
        <v>0</v>
      </c>
      <c r="H257">
        <v>0</v>
      </c>
      <c r="I257">
        <v>0</v>
      </c>
      <c r="J257">
        <v>10.66799</v>
      </c>
      <c r="K257">
        <v>1.7696099999999999</v>
      </c>
      <c r="L257">
        <v>0.33</v>
      </c>
      <c r="M257">
        <v>0.52920999999999996</v>
      </c>
      <c r="N257">
        <v>0</v>
      </c>
      <c r="O257">
        <v>0</v>
      </c>
      <c r="P257">
        <v>0</v>
      </c>
      <c r="Q257">
        <v>11.974489999999999</v>
      </c>
      <c r="R257">
        <v>0.64056000000000002</v>
      </c>
      <c r="S257">
        <v>0.33</v>
      </c>
      <c r="T257">
        <v>0.63256999999999997</v>
      </c>
      <c r="U257">
        <v>0</v>
      </c>
      <c r="V257">
        <v>0</v>
      </c>
      <c r="W257">
        <v>0</v>
      </c>
      <c r="X257">
        <v>12.36872</v>
      </c>
      <c r="Y257">
        <v>0.57030999999999998</v>
      </c>
      <c r="Z257">
        <v>0.33</v>
      </c>
      <c r="AA257">
        <v>0.44003999999999999</v>
      </c>
      <c r="AB257">
        <v>0</v>
      </c>
      <c r="AC257">
        <v>0</v>
      </c>
      <c r="AD257">
        <v>0</v>
      </c>
      <c r="AF257">
        <v>0.04</v>
      </c>
      <c r="AG257">
        <v>79379</v>
      </c>
      <c r="AH257">
        <v>0</v>
      </c>
      <c r="AI257">
        <v>0</v>
      </c>
      <c r="AJ257">
        <v>0.08</v>
      </c>
      <c r="AK257">
        <v>158757</v>
      </c>
      <c r="AL257">
        <v>0.06</v>
      </c>
      <c r="AM257">
        <v>117300</v>
      </c>
      <c r="AN257">
        <v>0</v>
      </c>
      <c r="AO257">
        <v>0</v>
      </c>
      <c r="AP257">
        <v>0.04</v>
      </c>
      <c r="AQ257">
        <v>78200</v>
      </c>
      <c r="AR257">
        <v>0.06</v>
      </c>
      <c r="AS257">
        <v>108697</v>
      </c>
      <c r="AT257">
        <v>0</v>
      </c>
      <c r="AU257">
        <v>0</v>
      </c>
      <c r="AV257">
        <v>0.03</v>
      </c>
      <c r="AW257">
        <v>54348</v>
      </c>
      <c r="BA257">
        <v>5877</v>
      </c>
      <c r="BB257" t="s">
        <v>452</v>
      </c>
      <c r="BC257">
        <v>1342.9</v>
      </c>
      <c r="BD257">
        <v>1356.1</v>
      </c>
    </row>
    <row r="258" spans="1:56" x14ac:dyDescent="0.25">
      <c r="A258">
        <v>5832</v>
      </c>
      <c r="B258" t="s">
        <v>451</v>
      </c>
      <c r="C258">
        <v>9.2161500000000007</v>
      </c>
      <c r="D258">
        <v>0.19653999999999999</v>
      </c>
      <c r="E258">
        <v>0.33</v>
      </c>
      <c r="F258">
        <v>0.67</v>
      </c>
      <c r="G258">
        <v>0</v>
      </c>
      <c r="H258">
        <v>0</v>
      </c>
      <c r="I258">
        <v>0</v>
      </c>
      <c r="J258">
        <v>9.0003100000000007</v>
      </c>
      <c r="K258">
        <v>1.2029399999999999</v>
      </c>
      <c r="L258">
        <v>0.33</v>
      </c>
      <c r="M258">
        <v>0.67</v>
      </c>
      <c r="N258">
        <v>0</v>
      </c>
      <c r="O258">
        <v>0</v>
      </c>
      <c r="P258">
        <v>0</v>
      </c>
      <c r="Q258">
        <v>9.7371400000000001</v>
      </c>
      <c r="R258">
        <v>0.83023999999999998</v>
      </c>
      <c r="S258">
        <v>0.33</v>
      </c>
      <c r="T258">
        <v>0.67</v>
      </c>
      <c r="U258">
        <v>0</v>
      </c>
      <c r="V258">
        <v>0</v>
      </c>
      <c r="W258">
        <v>0</v>
      </c>
      <c r="X258">
        <v>11.509639999999999</v>
      </c>
      <c r="Y258">
        <v>0.41061999999999999</v>
      </c>
      <c r="Z258">
        <v>0.33</v>
      </c>
      <c r="AA258">
        <v>0.67</v>
      </c>
      <c r="AB258">
        <v>0</v>
      </c>
      <c r="AC258">
        <v>0</v>
      </c>
      <c r="AD258">
        <v>0</v>
      </c>
      <c r="AF258">
        <v>0.06</v>
      </c>
      <c r="AG258">
        <v>81108</v>
      </c>
      <c r="AH258">
        <v>0</v>
      </c>
      <c r="AI258">
        <v>0</v>
      </c>
      <c r="AJ258">
        <v>0</v>
      </c>
      <c r="AK258">
        <v>0</v>
      </c>
      <c r="AL258">
        <v>0.06</v>
      </c>
      <c r="AM258">
        <v>76584</v>
      </c>
      <c r="AN258">
        <v>0</v>
      </c>
      <c r="AO258">
        <v>0</v>
      </c>
      <c r="AP258">
        <v>0</v>
      </c>
      <c r="AQ258">
        <v>0</v>
      </c>
      <c r="AR258">
        <v>0.06</v>
      </c>
      <c r="AS258">
        <v>67815</v>
      </c>
      <c r="AT258">
        <v>0</v>
      </c>
      <c r="AU258">
        <v>0</v>
      </c>
      <c r="AV258">
        <v>0</v>
      </c>
      <c r="AW258">
        <v>0</v>
      </c>
      <c r="BA258">
        <v>5895</v>
      </c>
      <c r="BB258" t="s">
        <v>453</v>
      </c>
      <c r="BC258">
        <v>237.4</v>
      </c>
      <c r="BD258">
        <v>263.8</v>
      </c>
    </row>
    <row r="259" spans="1:56" x14ac:dyDescent="0.25">
      <c r="A259">
        <v>5877</v>
      </c>
      <c r="B259" t="s">
        <v>452</v>
      </c>
      <c r="C259">
        <v>10.00689</v>
      </c>
      <c r="D259">
        <v>1.0273099999999999</v>
      </c>
      <c r="E259">
        <v>0.33</v>
      </c>
      <c r="F259">
        <v>0</v>
      </c>
      <c r="G259">
        <v>0</v>
      </c>
      <c r="H259">
        <v>0</v>
      </c>
      <c r="I259">
        <v>1.3223400000000001</v>
      </c>
      <c r="J259">
        <v>10.19211</v>
      </c>
      <c r="K259">
        <v>1.0590900000000001</v>
      </c>
      <c r="L259">
        <v>0.33</v>
      </c>
      <c r="M259">
        <v>0</v>
      </c>
      <c r="N259">
        <v>0</v>
      </c>
      <c r="O259">
        <v>0</v>
      </c>
      <c r="P259">
        <v>1.31854</v>
      </c>
      <c r="Q259">
        <v>11.164339999999999</v>
      </c>
      <c r="R259">
        <v>0.88175999999999999</v>
      </c>
      <c r="S259">
        <v>0.33</v>
      </c>
      <c r="T259">
        <v>0</v>
      </c>
      <c r="U259">
        <v>0</v>
      </c>
      <c r="V259">
        <v>0</v>
      </c>
      <c r="W259">
        <v>1.3766400000000001</v>
      </c>
      <c r="X259">
        <v>11.31884</v>
      </c>
      <c r="Y259">
        <v>0.78251000000000004</v>
      </c>
      <c r="Z259">
        <v>0.33</v>
      </c>
      <c r="AA259">
        <v>0</v>
      </c>
      <c r="AB259">
        <v>0</v>
      </c>
      <c r="AC259">
        <v>0</v>
      </c>
      <c r="AD259">
        <v>1.3912800000000001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BA259">
        <v>5949</v>
      </c>
      <c r="BB259" t="s">
        <v>454</v>
      </c>
      <c r="BC259">
        <v>982.3</v>
      </c>
      <c r="BD259">
        <v>1009.9</v>
      </c>
    </row>
    <row r="260" spans="1:56" x14ac:dyDescent="0.25">
      <c r="A260">
        <v>5895</v>
      </c>
      <c r="B260" t="s">
        <v>453</v>
      </c>
      <c r="C260">
        <v>9.6131799999999998</v>
      </c>
      <c r="D260">
        <v>0.87834000000000001</v>
      </c>
      <c r="E260">
        <v>0.33</v>
      </c>
      <c r="F260">
        <v>0</v>
      </c>
      <c r="G260">
        <v>0</v>
      </c>
      <c r="H260">
        <v>0</v>
      </c>
      <c r="I260">
        <v>0</v>
      </c>
      <c r="J260">
        <v>8.6283100000000008</v>
      </c>
      <c r="K260">
        <v>1.12948</v>
      </c>
      <c r="L260">
        <v>0.33</v>
      </c>
      <c r="M260">
        <v>0</v>
      </c>
      <c r="N260">
        <v>0</v>
      </c>
      <c r="O260">
        <v>0</v>
      </c>
      <c r="P260">
        <v>0</v>
      </c>
      <c r="Q260">
        <v>12.35258</v>
      </c>
      <c r="R260">
        <v>0.88802000000000003</v>
      </c>
      <c r="S260">
        <v>0.33</v>
      </c>
      <c r="T260">
        <v>0</v>
      </c>
      <c r="U260">
        <v>0</v>
      </c>
      <c r="V260">
        <v>0</v>
      </c>
      <c r="W260">
        <v>0</v>
      </c>
      <c r="X260">
        <v>14.615819999999999</v>
      </c>
      <c r="Y260">
        <v>0.69965999999999995</v>
      </c>
      <c r="Z260">
        <v>0.33</v>
      </c>
      <c r="AA260">
        <v>0</v>
      </c>
      <c r="AB260">
        <v>0</v>
      </c>
      <c r="AC260">
        <v>0</v>
      </c>
      <c r="AD260">
        <v>0</v>
      </c>
      <c r="AF260">
        <v>0.1</v>
      </c>
      <c r="AG260">
        <v>73287</v>
      </c>
      <c r="AH260">
        <v>0</v>
      </c>
      <c r="AI260">
        <v>0</v>
      </c>
      <c r="AJ260">
        <v>0</v>
      </c>
      <c r="AK260">
        <v>0</v>
      </c>
      <c r="AL260">
        <v>0.1</v>
      </c>
      <c r="AM260">
        <v>73190</v>
      </c>
      <c r="AN260">
        <v>0</v>
      </c>
      <c r="AO260">
        <v>0</v>
      </c>
      <c r="AP260">
        <v>0</v>
      </c>
      <c r="AQ260">
        <v>0</v>
      </c>
      <c r="AR260">
        <v>0.1</v>
      </c>
      <c r="AS260">
        <v>70984</v>
      </c>
      <c r="AT260">
        <v>0</v>
      </c>
      <c r="AU260">
        <v>0</v>
      </c>
      <c r="AV260">
        <v>0</v>
      </c>
      <c r="AW260">
        <v>0</v>
      </c>
      <c r="BA260">
        <v>5976</v>
      </c>
      <c r="BB260" t="s">
        <v>455</v>
      </c>
      <c r="BC260">
        <v>986.3</v>
      </c>
      <c r="BD260">
        <v>975.6</v>
      </c>
    </row>
    <row r="261" spans="1:56" x14ac:dyDescent="0.25">
      <c r="A261">
        <v>5922</v>
      </c>
      <c r="B261" t="s">
        <v>516</v>
      </c>
      <c r="C261">
        <v>8.2907299999999999</v>
      </c>
      <c r="D261">
        <v>0.99778</v>
      </c>
      <c r="E261">
        <v>0.33</v>
      </c>
      <c r="F261">
        <v>1</v>
      </c>
      <c r="G261">
        <v>0</v>
      </c>
      <c r="H261">
        <v>0</v>
      </c>
      <c r="I261">
        <v>1.20645</v>
      </c>
      <c r="J261">
        <v>8.1570199999999993</v>
      </c>
      <c r="K261">
        <v>1.0433300000000001</v>
      </c>
      <c r="L261">
        <v>0.33</v>
      </c>
      <c r="M261">
        <v>1</v>
      </c>
      <c r="N261">
        <v>0</v>
      </c>
      <c r="O261">
        <v>0</v>
      </c>
      <c r="P261">
        <v>0.63814000000000004</v>
      </c>
      <c r="Q261">
        <v>9.4203200000000002</v>
      </c>
      <c r="R261">
        <v>0.93162</v>
      </c>
      <c r="S261">
        <v>0.33</v>
      </c>
      <c r="T261">
        <v>0.67</v>
      </c>
      <c r="U261">
        <v>0</v>
      </c>
      <c r="V261">
        <v>0</v>
      </c>
      <c r="W261">
        <v>0.65934999999999999</v>
      </c>
      <c r="X261">
        <v>8.3942599999999992</v>
      </c>
      <c r="Y261">
        <v>0.92412000000000005</v>
      </c>
      <c r="Z261">
        <v>0.33</v>
      </c>
      <c r="AA261">
        <v>0.67</v>
      </c>
      <c r="AB261">
        <v>0</v>
      </c>
      <c r="AC261">
        <v>0</v>
      </c>
      <c r="AD261">
        <v>0.66825000000000001</v>
      </c>
      <c r="AF261">
        <v>0.08</v>
      </c>
      <c r="AG261">
        <v>333188</v>
      </c>
      <c r="AH261">
        <v>0</v>
      </c>
      <c r="AI261">
        <v>0</v>
      </c>
      <c r="AJ261">
        <v>0</v>
      </c>
      <c r="AK261">
        <v>0</v>
      </c>
      <c r="AL261">
        <v>0.09</v>
      </c>
      <c r="AM261">
        <v>371166</v>
      </c>
      <c r="AN261">
        <v>0</v>
      </c>
      <c r="AO261">
        <v>0</v>
      </c>
      <c r="AP261">
        <v>0</v>
      </c>
      <c r="AQ261">
        <v>0</v>
      </c>
      <c r="AR261">
        <v>0.09</v>
      </c>
      <c r="AS261">
        <v>350992</v>
      </c>
      <c r="AT261">
        <v>0</v>
      </c>
      <c r="AU261">
        <v>0</v>
      </c>
      <c r="AV261">
        <v>0</v>
      </c>
      <c r="AW261">
        <v>0</v>
      </c>
      <c r="BA261">
        <v>5994</v>
      </c>
      <c r="BB261" t="s">
        <v>456</v>
      </c>
      <c r="BC261">
        <v>755.1</v>
      </c>
      <c r="BD261">
        <v>771.2</v>
      </c>
    </row>
    <row r="262" spans="1:56" x14ac:dyDescent="0.25">
      <c r="A262">
        <v>5949</v>
      </c>
      <c r="B262" t="s">
        <v>454</v>
      </c>
      <c r="C262">
        <v>11.320169999999999</v>
      </c>
      <c r="D262">
        <v>1.0102100000000001</v>
      </c>
      <c r="E262">
        <v>0.33</v>
      </c>
      <c r="F262">
        <v>1.33</v>
      </c>
      <c r="G262">
        <v>0</v>
      </c>
      <c r="H262">
        <v>0</v>
      </c>
      <c r="I262">
        <v>0</v>
      </c>
      <c r="J262">
        <v>11.374790000000001</v>
      </c>
      <c r="K262">
        <v>1.1271500000000001</v>
      </c>
      <c r="L262">
        <v>0.33</v>
      </c>
      <c r="M262">
        <v>1.33</v>
      </c>
      <c r="N262">
        <v>0</v>
      </c>
      <c r="O262">
        <v>0</v>
      </c>
      <c r="P262">
        <v>0</v>
      </c>
      <c r="Q262">
        <v>11.41897</v>
      </c>
      <c r="R262">
        <v>1.1912400000000001</v>
      </c>
      <c r="S262">
        <v>0.33</v>
      </c>
      <c r="T262">
        <v>0.5</v>
      </c>
      <c r="U262">
        <v>0</v>
      </c>
      <c r="V262">
        <v>0</v>
      </c>
      <c r="W262">
        <v>0</v>
      </c>
      <c r="X262">
        <v>11.67794</v>
      </c>
      <c r="Y262">
        <v>1.0932500000000001</v>
      </c>
      <c r="Z262">
        <v>0.33</v>
      </c>
      <c r="AA262">
        <v>0.5</v>
      </c>
      <c r="AB262">
        <v>0</v>
      </c>
      <c r="AC262">
        <v>0</v>
      </c>
      <c r="AD262">
        <v>0</v>
      </c>
      <c r="AF262">
        <v>0.06</v>
      </c>
      <c r="AG262">
        <v>405459</v>
      </c>
      <c r="AH262">
        <v>0</v>
      </c>
      <c r="AI262">
        <v>0</v>
      </c>
      <c r="AJ262">
        <v>0</v>
      </c>
      <c r="AK262">
        <v>0</v>
      </c>
      <c r="AL262">
        <v>0.08</v>
      </c>
      <c r="AM262">
        <v>439191</v>
      </c>
      <c r="AN262">
        <v>0</v>
      </c>
      <c r="AO262">
        <v>0</v>
      </c>
      <c r="AP262">
        <v>0</v>
      </c>
      <c r="AQ262">
        <v>0</v>
      </c>
      <c r="AR262">
        <v>0.08</v>
      </c>
      <c r="AS262">
        <v>446561</v>
      </c>
      <c r="AT262">
        <v>0</v>
      </c>
      <c r="AU262">
        <v>0</v>
      </c>
      <c r="AV262">
        <v>0</v>
      </c>
      <c r="AW262">
        <v>0</v>
      </c>
      <c r="BA262">
        <v>6003</v>
      </c>
      <c r="BB262" t="s">
        <v>457</v>
      </c>
      <c r="BC262">
        <v>327.2</v>
      </c>
      <c r="BD262">
        <v>322.60000000000002</v>
      </c>
    </row>
    <row r="263" spans="1:56" x14ac:dyDescent="0.25">
      <c r="A263">
        <v>5976</v>
      </c>
      <c r="B263" t="s">
        <v>455</v>
      </c>
      <c r="C263">
        <v>12.122260000000001</v>
      </c>
      <c r="D263">
        <v>1.54386</v>
      </c>
      <c r="E263">
        <v>0.33</v>
      </c>
      <c r="F263">
        <v>0.15931999999999999</v>
      </c>
      <c r="G263">
        <v>0</v>
      </c>
      <c r="H263">
        <v>0</v>
      </c>
      <c r="I263">
        <v>1.7898000000000001</v>
      </c>
      <c r="J263">
        <v>14.143179999999999</v>
      </c>
      <c r="K263">
        <v>0.79295000000000004</v>
      </c>
      <c r="L263">
        <v>0.33</v>
      </c>
      <c r="M263">
        <v>0.16467999999999999</v>
      </c>
      <c r="N263">
        <v>0</v>
      </c>
      <c r="O263">
        <v>0</v>
      </c>
      <c r="P263">
        <v>1.0862700000000001</v>
      </c>
      <c r="Q263">
        <v>13.87585</v>
      </c>
      <c r="R263">
        <v>0.82684000000000002</v>
      </c>
      <c r="S263">
        <v>0.33</v>
      </c>
      <c r="T263">
        <v>0.23981</v>
      </c>
      <c r="U263">
        <v>0</v>
      </c>
      <c r="V263">
        <v>0</v>
      </c>
      <c r="W263">
        <v>1.09937</v>
      </c>
      <c r="X263">
        <v>13.0939</v>
      </c>
      <c r="Y263">
        <v>0.6542</v>
      </c>
      <c r="Z263">
        <v>0.33</v>
      </c>
      <c r="AA263">
        <v>0.32577</v>
      </c>
      <c r="AB263">
        <v>0</v>
      </c>
      <c r="AC263">
        <v>0</v>
      </c>
      <c r="AD263">
        <v>1.3808800000000001</v>
      </c>
      <c r="AF263">
        <v>0.08</v>
      </c>
      <c r="AG263">
        <v>349388</v>
      </c>
      <c r="AH263">
        <v>0</v>
      </c>
      <c r="AI263">
        <v>0</v>
      </c>
      <c r="AJ263">
        <v>7.0000000000000007E-2</v>
      </c>
      <c r="AK263">
        <v>305715</v>
      </c>
      <c r="AL263">
        <v>0.08</v>
      </c>
      <c r="AM263">
        <v>313933</v>
      </c>
      <c r="AN263">
        <v>0</v>
      </c>
      <c r="AO263">
        <v>0</v>
      </c>
      <c r="AP263">
        <v>7.0000000000000007E-2</v>
      </c>
      <c r="AQ263">
        <v>274691</v>
      </c>
      <c r="AR263">
        <v>7.0000000000000007E-2</v>
      </c>
      <c r="AS263">
        <v>280270</v>
      </c>
      <c r="AT263">
        <v>0</v>
      </c>
      <c r="AU263">
        <v>0</v>
      </c>
      <c r="AV263">
        <v>0.06</v>
      </c>
      <c r="AW263">
        <v>240232</v>
      </c>
      <c r="BA263">
        <v>6012</v>
      </c>
      <c r="BB263" t="s">
        <v>458</v>
      </c>
      <c r="BC263">
        <v>530</v>
      </c>
      <c r="BD263">
        <v>532.9</v>
      </c>
    </row>
    <row r="264" spans="1:56" x14ac:dyDescent="0.25">
      <c r="A264">
        <v>5994</v>
      </c>
      <c r="B264" t="s">
        <v>456</v>
      </c>
      <c r="C264">
        <v>9.6514500000000005</v>
      </c>
      <c r="D264">
        <v>1.68825</v>
      </c>
      <c r="E264">
        <v>0.33</v>
      </c>
      <c r="F264">
        <v>0</v>
      </c>
      <c r="G264">
        <v>0</v>
      </c>
      <c r="H264">
        <v>0</v>
      </c>
      <c r="I264">
        <v>0</v>
      </c>
      <c r="J264">
        <v>9.3640899999999991</v>
      </c>
      <c r="K264">
        <v>1.5960300000000001</v>
      </c>
      <c r="L264">
        <v>0.33</v>
      </c>
      <c r="M264">
        <v>0</v>
      </c>
      <c r="N264">
        <v>0</v>
      </c>
      <c r="O264">
        <v>0</v>
      </c>
      <c r="P264">
        <v>2.4372600000000002</v>
      </c>
      <c r="Q264">
        <v>11.1075</v>
      </c>
      <c r="R264">
        <v>1.3289599999999999</v>
      </c>
      <c r="S264">
        <v>0.33</v>
      </c>
      <c r="T264">
        <v>0</v>
      </c>
      <c r="U264">
        <v>0</v>
      </c>
      <c r="V264">
        <v>0</v>
      </c>
      <c r="W264">
        <v>1.3536600000000001</v>
      </c>
      <c r="X264">
        <v>12.59315</v>
      </c>
      <c r="Y264">
        <v>1.0910299999999999</v>
      </c>
      <c r="Z264">
        <v>0.33</v>
      </c>
      <c r="AA264">
        <v>0</v>
      </c>
      <c r="AB264">
        <v>0</v>
      </c>
      <c r="AC264">
        <v>0</v>
      </c>
      <c r="AD264">
        <v>1.4508000000000001</v>
      </c>
      <c r="AF264">
        <v>0.06</v>
      </c>
      <c r="AG264">
        <v>225990</v>
      </c>
      <c r="AH264">
        <v>0</v>
      </c>
      <c r="AI264">
        <v>0</v>
      </c>
      <c r="AJ264">
        <v>0</v>
      </c>
      <c r="AK264">
        <v>0</v>
      </c>
      <c r="AL264">
        <v>0.06</v>
      </c>
      <c r="AM264">
        <v>217403</v>
      </c>
      <c r="AN264">
        <v>0</v>
      </c>
      <c r="AO264">
        <v>0</v>
      </c>
      <c r="AP264">
        <v>0</v>
      </c>
      <c r="AQ264">
        <v>0</v>
      </c>
      <c r="AR264">
        <v>7.0000000000000007E-2</v>
      </c>
      <c r="AS264">
        <v>239229</v>
      </c>
      <c r="AT264">
        <v>0</v>
      </c>
      <c r="AU264">
        <v>0</v>
      </c>
      <c r="AV264">
        <v>0</v>
      </c>
      <c r="AW264">
        <v>0</v>
      </c>
      <c r="BA264">
        <v>6030</v>
      </c>
      <c r="BB264" t="s">
        <v>459</v>
      </c>
      <c r="BC264">
        <v>1061.5999999999999</v>
      </c>
      <c r="BD264">
        <v>1114.7</v>
      </c>
    </row>
    <row r="265" spans="1:56" x14ac:dyDescent="0.25">
      <c r="A265">
        <v>6003</v>
      </c>
      <c r="B265" t="s">
        <v>457</v>
      </c>
      <c r="C265">
        <v>12.251289999999999</v>
      </c>
      <c r="D265">
        <v>1.1732499999999999</v>
      </c>
      <c r="E265">
        <v>0.33</v>
      </c>
      <c r="F265">
        <v>0</v>
      </c>
      <c r="G265">
        <v>0</v>
      </c>
      <c r="H265">
        <v>0</v>
      </c>
      <c r="I265">
        <v>2.0382600000000002</v>
      </c>
      <c r="J265">
        <v>15.37785</v>
      </c>
      <c r="K265">
        <v>1.0679000000000001</v>
      </c>
      <c r="L265">
        <v>0.12654000000000001</v>
      </c>
      <c r="M265">
        <v>0</v>
      </c>
      <c r="N265">
        <v>0</v>
      </c>
      <c r="O265">
        <v>0</v>
      </c>
      <c r="P265">
        <v>2.2163900000000001</v>
      </c>
      <c r="Q265">
        <v>9.1321600000000007</v>
      </c>
      <c r="R265">
        <v>0.86031999999999997</v>
      </c>
      <c r="S265">
        <v>0</v>
      </c>
      <c r="T265">
        <v>0</v>
      </c>
      <c r="U265">
        <v>0</v>
      </c>
      <c r="V265">
        <v>0</v>
      </c>
      <c r="W265">
        <v>2.25752</v>
      </c>
      <c r="X265">
        <v>10.200189999999999</v>
      </c>
      <c r="Y265">
        <v>0.4854</v>
      </c>
      <c r="Z265">
        <v>0</v>
      </c>
      <c r="AA265">
        <v>0</v>
      </c>
      <c r="AB265">
        <v>0</v>
      </c>
      <c r="AC265">
        <v>0</v>
      </c>
      <c r="AD265">
        <v>1.2213000000000001</v>
      </c>
      <c r="AF265">
        <v>0.11</v>
      </c>
      <c r="AG265">
        <v>156928</v>
      </c>
      <c r="AH265">
        <v>0</v>
      </c>
      <c r="AI265">
        <v>0</v>
      </c>
      <c r="AJ265">
        <v>0</v>
      </c>
      <c r="AK265">
        <v>0</v>
      </c>
      <c r="AL265">
        <v>0.11</v>
      </c>
      <c r="AM265">
        <v>164046</v>
      </c>
      <c r="AN265">
        <v>0</v>
      </c>
      <c r="AO265">
        <v>0</v>
      </c>
      <c r="AP265">
        <v>0</v>
      </c>
      <c r="AQ265">
        <v>0</v>
      </c>
      <c r="AR265">
        <v>0.11</v>
      </c>
      <c r="AS265">
        <v>165911</v>
      </c>
      <c r="AT265">
        <v>0</v>
      </c>
      <c r="AU265">
        <v>0</v>
      </c>
      <c r="AV265">
        <v>0</v>
      </c>
      <c r="AW265">
        <v>0</v>
      </c>
      <c r="BA265">
        <v>6048</v>
      </c>
      <c r="BB265" t="s">
        <v>460</v>
      </c>
      <c r="BC265">
        <v>483.1</v>
      </c>
      <c r="BD265">
        <v>495.2</v>
      </c>
    </row>
    <row r="266" spans="1:56" x14ac:dyDescent="0.25">
      <c r="A266">
        <v>6012</v>
      </c>
      <c r="B266" t="s">
        <v>458</v>
      </c>
      <c r="C266">
        <v>10.58489</v>
      </c>
      <c r="D266">
        <v>3.41587</v>
      </c>
      <c r="E266">
        <v>0.33</v>
      </c>
      <c r="F266">
        <v>0</v>
      </c>
      <c r="G266">
        <v>0</v>
      </c>
      <c r="H266">
        <v>0</v>
      </c>
      <c r="I266">
        <v>0</v>
      </c>
      <c r="J266">
        <v>10.891640000000001</v>
      </c>
      <c r="K266">
        <v>3.17462</v>
      </c>
      <c r="L266">
        <v>0.33</v>
      </c>
      <c r="M266">
        <v>0</v>
      </c>
      <c r="N266">
        <v>0</v>
      </c>
      <c r="O266">
        <v>0</v>
      </c>
      <c r="P266">
        <v>0</v>
      </c>
      <c r="Q266">
        <v>16.036760000000001</v>
      </c>
      <c r="R266">
        <v>1.3131699999999999</v>
      </c>
      <c r="S266">
        <v>0.33</v>
      </c>
      <c r="T266">
        <v>0</v>
      </c>
      <c r="U266">
        <v>0</v>
      </c>
      <c r="V266">
        <v>0</v>
      </c>
      <c r="W266">
        <v>0</v>
      </c>
      <c r="X266">
        <v>15.643370000000001</v>
      </c>
      <c r="Y266">
        <v>1.0182899999999999</v>
      </c>
      <c r="Z266">
        <v>0.33</v>
      </c>
      <c r="AA266">
        <v>0</v>
      </c>
      <c r="AB266">
        <v>0</v>
      </c>
      <c r="AC266">
        <v>0</v>
      </c>
      <c r="AD266">
        <v>0</v>
      </c>
      <c r="AF266">
        <v>0.06</v>
      </c>
      <c r="AG266">
        <v>136324</v>
      </c>
      <c r="AH266">
        <v>0</v>
      </c>
      <c r="AI266">
        <v>0</v>
      </c>
      <c r="AJ266">
        <v>0</v>
      </c>
      <c r="AK266">
        <v>0</v>
      </c>
      <c r="AL266">
        <v>0.06</v>
      </c>
      <c r="AM266">
        <v>135035</v>
      </c>
      <c r="AN266">
        <v>0</v>
      </c>
      <c r="AO266">
        <v>0</v>
      </c>
      <c r="AP266">
        <v>0</v>
      </c>
      <c r="AQ266">
        <v>0</v>
      </c>
      <c r="AR266">
        <v>0.06</v>
      </c>
      <c r="AS266">
        <v>131343</v>
      </c>
      <c r="AT266">
        <v>0</v>
      </c>
      <c r="AU266">
        <v>0</v>
      </c>
      <c r="AV266">
        <v>0</v>
      </c>
      <c r="AW266">
        <v>0</v>
      </c>
      <c r="BA266">
        <v>6039</v>
      </c>
      <c r="BB266" t="s">
        <v>461</v>
      </c>
      <c r="BC266">
        <v>13929.9</v>
      </c>
      <c r="BD266">
        <v>14132.2</v>
      </c>
    </row>
    <row r="267" spans="1:56" x14ac:dyDescent="0.25">
      <c r="A267">
        <v>6030</v>
      </c>
      <c r="B267" t="s">
        <v>459</v>
      </c>
      <c r="C267">
        <v>9.9794300000000007</v>
      </c>
      <c r="D267">
        <v>0.54312000000000005</v>
      </c>
      <c r="E267">
        <v>0.33</v>
      </c>
      <c r="F267">
        <v>1.03</v>
      </c>
      <c r="G267">
        <v>0</v>
      </c>
      <c r="H267">
        <v>0</v>
      </c>
      <c r="I267">
        <v>3.0333199999999998</v>
      </c>
      <c r="J267">
        <v>9.9585100000000004</v>
      </c>
      <c r="K267">
        <v>0.65278000000000003</v>
      </c>
      <c r="L267">
        <v>0.33</v>
      </c>
      <c r="M267">
        <v>1.03</v>
      </c>
      <c r="N267">
        <v>0</v>
      </c>
      <c r="O267">
        <v>0</v>
      </c>
      <c r="P267">
        <v>1.95966</v>
      </c>
      <c r="Q267">
        <v>12.020479999999999</v>
      </c>
      <c r="R267">
        <v>0.68803000000000003</v>
      </c>
      <c r="S267">
        <v>0.33</v>
      </c>
      <c r="T267">
        <v>1.03</v>
      </c>
      <c r="U267">
        <v>0</v>
      </c>
      <c r="V267">
        <v>0</v>
      </c>
      <c r="W267">
        <v>2.04792</v>
      </c>
      <c r="X267">
        <v>12.572150000000001</v>
      </c>
      <c r="Y267">
        <v>0.64939000000000002</v>
      </c>
      <c r="Z267">
        <v>0</v>
      </c>
      <c r="AA267">
        <v>1.03</v>
      </c>
      <c r="AB267">
        <v>0</v>
      </c>
      <c r="AC267">
        <v>0</v>
      </c>
      <c r="AD267">
        <v>1.8700300000000001</v>
      </c>
      <c r="AF267">
        <v>0.05</v>
      </c>
      <c r="AG267">
        <v>438148</v>
      </c>
      <c r="AH267">
        <v>0</v>
      </c>
      <c r="AI267">
        <v>0</v>
      </c>
      <c r="AJ267">
        <v>0</v>
      </c>
      <c r="AK267">
        <v>0</v>
      </c>
      <c r="AL267">
        <v>0.06</v>
      </c>
      <c r="AM267">
        <v>424034</v>
      </c>
      <c r="AN267">
        <v>0</v>
      </c>
      <c r="AO267">
        <v>0</v>
      </c>
      <c r="AP267">
        <v>0</v>
      </c>
      <c r="AQ267">
        <v>0</v>
      </c>
      <c r="AR267">
        <v>0.06</v>
      </c>
      <c r="AS267">
        <v>409616</v>
      </c>
      <c r="AT267">
        <v>0</v>
      </c>
      <c r="AU267">
        <v>0</v>
      </c>
      <c r="AV267">
        <v>0</v>
      </c>
      <c r="AW267">
        <v>0</v>
      </c>
      <c r="BA267">
        <v>6093</v>
      </c>
      <c r="BB267" t="s">
        <v>462</v>
      </c>
      <c r="BC267">
        <v>1258.9000000000001</v>
      </c>
      <c r="BD267">
        <v>1258.7</v>
      </c>
    </row>
    <row r="268" spans="1:56" x14ac:dyDescent="0.25">
      <c r="A268">
        <v>6039</v>
      </c>
      <c r="B268" t="s">
        <v>461</v>
      </c>
      <c r="C268">
        <v>15.34235</v>
      </c>
      <c r="D268">
        <v>0.85016000000000003</v>
      </c>
      <c r="E268">
        <v>0.33</v>
      </c>
      <c r="F268">
        <v>0</v>
      </c>
      <c r="G268">
        <v>0</v>
      </c>
      <c r="H268">
        <v>0</v>
      </c>
      <c r="I268">
        <v>0</v>
      </c>
      <c r="J268">
        <v>15.51451</v>
      </c>
      <c r="K268">
        <v>0.83633000000000002</v>
      </c>
      <c r="L268">
        <v>0.33</v>
      </c>
      <c r="M268">
        <v>0</v>
      </c>
      <c r="N268">
        <v>0</v>
      </c>
      <c r="O268">
        <v>0</v>
      </c>
      <c r="P268">
        <v>0</v>
      </c>
      <c r="Q268">
        <v>15.940810000000001</v>
      </c>
      <c r="R268">
        <v>0.91869000000000001</v>
      </c>
      <c r="S268">
        <v>0.33</v>
      </c>
      <c r="T268">
        <v>0</v>
      </c>
      <c r="U268">
        <v>0</v>
      </c>
      <c r="V268">
        <v>0</v>
      </c>
      <c r="W268">
        <v>0</v>
      </c>
      <c r="X268">
        <v>16.204979999999999</v>
      </c>
      <c r="Y268">
        <v>0.58055000000000001</v>
      </c>
      <c r="Z268">
        <v>0.33</v>
      </c>
      <c r="AA268">
        <v>0</v>
      </c>
      <c r="AB268">
        <v>0</v>
      </c>
      <c r="AC268">
        <v>0</v>
      </c>
      <c r="AD268">
        <v>0</v>
      </c>
      <c r="AF268">
        <v>0.06</v>
      </c>
      <c r="AG268">
        <v>3391579</v>
      </c>
      <c r="AH268">
        <v>0</v>
      </c>
      <c r="AI268">
        <v>0</v>
      </c>
      <c r="AJ268">
        <v>0</v>
      </c>
      <c r="AK268">
        <v>0</v>
      </c>
      <c r="AL268">
        <v>0.06</v>
      </c>
      <c r="AM268">
        <v>3535682</v>
      </c>
      <c r="AN268">
        <v>0</v>
      </c>
      <c r="AO268">
        <v>0</v>
      </c>
      <c r="AP268">
        <v>0</v>
      </c>
      <c r="AQ268">
        <v>0</v>
      </c>
      <c r="AR268">
        <v>0.06</v>
      </c>
      <c r="AS268">
        <v>3444100</v>
      </c>
      <c r="AT268">
        <v>0</v>
      </c>
      <c r="AU268">
        <v>0</v>
      </c>
      <c r="AV268">
        <v>0</v>
      </c>
      <c r="AW268">
        <v>0</v>
      </c>
      <c r="BA268">
        <v>6091</v>
      </c>
      <c r="BB268" t="s">
        <v>463</v>
      </c>
      <c r="BC268">
        <v>469.4</v>
      </c>
      <c r="BD268">
        <v>452.4</v>
      </c>
    </row>
    <row r="269" spans="1:56" x14ac:dyDescent="0.25">
      <c r="A269">
        <v>6048</v>
      </c>
      <c r="B269" t="s">
        <v>460</v>
      </c>
      <c r="C269">
        <v>8.2077799999999996</v>
      </c>
      <c r="D269">
        <v>0.41228999999999999</v>
      </c>
      <c r="E269">
        <v>0.33</v>
      </c>
      <c r="F269">
        <v>0</v>
      </c>
      <c r="G269">
        <v>0</v>
      </c>
      <c r="H269">
        <v>0</v>
      </c>
      <c r="I269">
        <v>2.1205400000000001</v>
      </c>
      <c r="J269">
        <v>8.5064700000000002</v>
      </c>
      <c r="K269">
        <v>2.3155800000000002</v>
      </c>
      <c r="L269">
        <v>0.33</v>
      </c>
      <c r="M269">
        <v>0</v>
      </c>
      <c r="N269">
        <v>0</v>
      </c>
      <c r="O269">
        <v>0</v>
      </c>
      <c r="P269">
        <v>1.05986</v>
      </c>
      <c r="Q269">
        <v>8.5004100000000005</v>
      </c>
      <c r="R269">
        <v>1.4549799999999999</v>
      </c>
      <c r="S269">
        <v>0.33</v>
      </c>
      <c r="T269">
        <v>0</v>
      </c>
      <c r="U269">
        <v>0</v>
      </c>
      <c r="V269">
        <v>0</v>
      </c>
      <c r="W269">
        <v>2.1753100000000001</v>
      </c>
      <c r="X269">
        <v>10.38499</v>
      </c>
      <c r="Y269">
        <v>0.46259</v>
      </c>
      <c r="Z269">
        <v>0.33</v>
      </c>
      <c r="AA269">
        <v>0</v>
      </c>
      <c r="AB269">
        <v>0</v>
      </c>
      <c r="AC269">
        <v>0</v>
      </c>
      <c r="AD269">
        <v>2.3048299999999999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BA269">
        <v>6095</v>
      </c>
      <c r="BB269" t="s">
        <v>465</v>
      </c>
      <c r="BC269">
        <v>662.3</v>
      </c>
      <c r="BD269">
        <v>653.9</v>
      </c>
    </row>
    <row r="270" spans="1:56" x14ac:dyDescent="0.25">
      <c r="A270">
        <v>6091</v>
      </c>
      <c r="B270" t="s">
        <v>463</v>
      </c>
      <c r="C270">
        <v>8.6627399999999994</v>
      </c>
      <c r="D270">
        <v>0.90366999999999997</v>
      </c>
      <c r="E270">
        <v>0.33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BA270">
        <v>5157</v>
      </c>
      <c r="BB270" t="s">
        <v>466</v>
      </c>
      <c r="BC270">
        <v>657.8</v>
      </c>
      <c r="BD270">
        <v>671</v>
      </c>
    </row>
    <row r="271" spans="1:56" x14ac:dyDescent="0.25">
      <c r="A271">
        <v>6093</v>
      </c>
      <c r="B271" t="s">
        <v>462</v>
      </c>
      <c r="C271">
        <v>9.3118999999999996</v>
      </c>
      <c r="D271">
        <v>1.3214699999999999</v>
      </c>
      <c r="E271">
        <v>0.33</v>
      </c>
      <c r="F271">
        <v>1.34</v>
      </c>
      <c r="G271">
        <v>0</v>
      </c>
      <c r="H271">
        <v>0</v>
      </c>
      <c r="I271">
        <v>4.05</v>
      </c>
      <c r="J271">
        <v>8.9996700000000001</v>
      </c>
      <c r="K271">
        <v>1.2774099999999999</v>
      </c>
      <c r="L271">
        <v>0.33</v>
      </c>
      <c r="M271">
        <v>1.34</v>
      </c>
      <c r="N271">
        <v>0</v>
      </c>
      <c r="O271">
        <v>0</v>
      </c>
      <c r="P271">
        <v>4.05</v>
      </c>
      <c r="Q271">
        <v>11.49484</v>
      </c>
      <c r="R271">
        <v>1.1780900000000001</v>
      </c>
      <c r="S271">
        <v>0.33</v>
      </c>
      <c r="T271">
        <v>1.34</v>
      </c>
      <c r="U271">
        <v>0</v>
      </c>
      <c r="V271">
        <v>0</v>
      </c>
      <c r="W271">
        <v>2.6148799999999999</v>
      </c>
      <c r="X271">
        <v>12.15808</v>
      </c>
      <c r="Y271">
        <v>0.94960999999999995</v>
      </c>
      <c r="Z271">
        <v>0.33</v>
      </c>
      <c r="AA271">
        <v>1.34</v>
      </c>
      <c r="AB271">
        <v>0</v>
      </c>
      <c r="AC271">
        <v>0</v>
      </c>
      <c r="AD271">
        <v>2.1968299999999998</v>
      </c>
      <c r="AF271">
        <v>0.06</v>
      </c>
      <c r="AG271">
        <v>551584</v>
      </c>
      <c r="AH271">
        <v>0</v>
      </c>
      <c r="AI271">
        <v>0</v>
      </c>
      <c r="AJ271">
        <v>0</v>
      </c>
      <c r="AK271">
        <v>0</v>
      </c>
      <c r="AL271">
        <v>0.06</v>
      </c>
      <c r="AM271">
        <v>521623</v>
      </c>
      <c r="AN271">
        <v>0</v>
      </c>
      <c r="AO271">
        <v>0</v>
      </c>
      <c r="AP271">
        <v>0</v>
      </c>
      <c r="AQ271">
        <v>0</v>
      </c>
      <c r="AR271">
        <v>0.06</v>
      </c>
      <c r="AS271">
        <v>495428</v>
      </c>
      <c r="AT271">
        <v>0</v>
      </c>
      <c r="AU271">
        <v>0</v>
      </c>
      <c r="AV271">
        <v>0</v>
      </c>
      <c r="AW271">
        <v>0</v>
      </c>
      <c r="BA271">
        <v>6097</v>
      </c>
      <c r="BB271" t="s">
        <v>467</v>
      </c>
      <c r="BC271">
        <v>215.6</v>
      </c>
      <c r="BD271">
        <v>196.5</v>
      </c>
    </row>
    <row r="272" spans="1:56" x14ac:dyDescent="0.25">
      <c r="A272">
        <v>6094</v>
      </c>
      <c r="B272" t="s">
        <v>471</v>
      </c>
      <c r="C272">
        <v>12.980130000000001</v>
      </c>
      <c r="D272">
        <v>1.36033</v>
      </c>
      <c r="E272">
        <v>0.33</v>
      </c>
      <c r="F272">
        <v>0</v>
      </c>
      <c r="G272">
        <v>0</v>
      </c>
      <c r="H272">
        <v>0</v>
      </c>
      <c r="I272">
        <v>2.4244500000000002</v>
      </c>
      <c r="J272">
        <v>12.75135</v>
      </c>
      <c r="K272">
        <v>0.99853000000000003</v>
      </c>
      <c r="L272">
        <v>0.33</v>
      </c>
      <c r="M272">
        <v>0</v>
      </c>
      <c r="N272">
        <v>0</v>
      </c>
      <c r="O272">
        <v>0</v>
      </c>
      <c r="P272">
        <v>2.39812</v>
      </c>
      <c r="Q272">
        <v>12.65413</v>
      </c>
      <c r="R272">
        <v>1.55349</v>
      </c>
      <c r="S272">
        <v>0.33</v>
      </c>
      <c r="T272">
        <v>0</v>
      </c>
      <c r="U272">
        <v>0</v>
      </c>
      <c r="V272">
        <v>0</v>
      </c>
      <c r="W272">
        <v>2.4250400000000001</v>
      </c>
      <c r="X272">
        <v>14.609299999999999</v>
      </c>
      <c r="Y272">
        <v>0.83079999999999998</v>
      </c>
      <c r="Z272">
        <v>0.33</v>
      </c>
      <c r="AA272">
        <v>0</v>
      </c>
      <c r="AB272">
        <v>0</v>
      </c>
      <c r="AC272">
        <v>0</v>
      </c>
      <c r="AD272">
        <v>2.5104099999999998</v>
      </c>
      <c r="AF272">
        <v>0.1</v>
      </c>
      <c r="AG272">
        <v>195200</v>
      </c>
      <c r="AH272">
        <v>0</v>
      </c>
      <c r="AI272">
        <v>0</v>
      </c>
      <c r="AJ272">
        <v>0</v>
      </c>
      <c r="AK272">
        <v>0</v>
      </c>
      <c r="AL272">
        <v>0.1</v>
      </c>
      <c r="AM272">
        <v>200841</v>
      </c>
      <c r="AN272">
        <v>0</v>
      </c>
      <c r="AO272">
        <v>0</v>
      </c>
      <c r="AP272">
        <v>0</v>
      </c>
      <c r="AQ272">
        <v>0</v>
      </c>
      <c r="AR272">
        <v>0.1</v>
      </c>
      <c r="AS272">
        <v>195869</v>
      </c>
      <c r="AT272">
        <v>0</v>
      </c>
      <c r="AU272">
        <v>0</v>
      </c>
      <c r="AV272">
        <v>0</v>
      </c>
      <c r="AW272">
        <v>0</v>
      </c>
      <c r="BA272">
        <v>6098</v>
      </c>
      <c r="BB272" t="s">
        <v>468</v>
      </c>
      <c r="BC272">
        <v>1462</v>
      </c>
      <c r="BD272">
        <v>1466.5</v>
      </c>
    </row>
    <row r="273" spans="1:56" x14ac:dyDescent="0.25">
      <c r="A273">
        <v>6095</v>
      </c>
      <c r="B273" t="s">
        <v>465</v>
      </c>
      <c r="C273">
        <v>8.6406200000000002</v>
      </c>
      <c r="D273">
        <v>1.60649</v>
      </c>
      <c r="E273">
        <v>0.33</v>
      </c>
      <c r="F273">
        <v>1</v>
      </c>
      <c r="G273">
        <v>0</v>
      </c>
      <c r="H273">
        <v>0</v>
      </c>
      <c r="I273">
        <v>1.42008</v>
      </c>
      <c r="J273">
        <v>8.5841499999999993</v>
      </c>
      <c r="K273">
        <v>1.0049600000000001</v>
      </c>
      <c r="L273">
        <v>0.33</v>
      </c>
      <c r="M273">
        <v>1</v>
      </c>
      <c r="N273">
        <v>0</v>
      </c>
      <c r="O273">
        <v>0</v>
      </c>
      <c r="P273">
        <v>2.6997900000000001</v>
      </c>
      <c r="Q273">
        <v>9.1784700000000008</v>
      </c>
      <c r="R273">
        <v>0.85118000000000005</v>
      </c>
      <c r="S273">
        <v>0.33</v>
      </c>
      <c r="T273">
        <v>1</v>
      </c>
      <c r="U273">
        <v>0</v>
      </c>
      <c r="V273">
        <v>0</v>
      </c>
      <c r="W273">
        <v>2.6827800000000002</v>
      </c>
      <c r="X273">
        <v>12.343859999999999</v>
      </c>
      <c r="Y273">
        <v>0.74680000000000002</v>
      </c>
      <c r="Z273">
        <v>0.33</v>
      </c>
      <c r="AA273">
        <v>0.75</v>
      </c>
      <c r="AB273">
        <v>0</v>
      </c>
      <c r="AC273">
        <v>0</v>
      </c>
      <c r="AD273">
        <v>1.1951799999999999</v>
      </c>
      <c r="AF273">
        <v>0.09</v>
      </c>
      <c r="AG273">
        <v>310515</v>
      </c>
      <c r="AH273">
        <v>0</v>
      </c>
      <c r="AI273">
        <v>0</v>
      </c>
      <c r="AJ273">
        <v>0</v>
      </c>
      <c r="AK273">
        <v>0</v>
      </c>
      <c r="AL273">
        <v>0.09</v>
      </c>
      <c r="AM273">
        <v>296159</v>
      </c>
      <c r="AN273">
        <v>0</v>
      </c>
      <c r="AO273">
        <v>0</v>
      </c>
      <c r="AP273">
        <v>0</v>
      </c>
      <c r="AQ273">
        <v>0</v>
      </c>
      <c r="AR273">
        <v>0.1</v>
      </c>
      <c r="AS273">
        <v>317737</v>
      </c>
      <c r="AT273">
        <v>0</v>
      </c>
      <c r="AU273">
        <v>0</v>
      </c>
      <c r="AV273">
        <v>0</v>
      </c>
      <c r="AW273">
        <v>0</v>
      </c>
      <c r="BA273">
        <v>6100</v>
      </c>
      <c r="BB273" t="s">
        <v>469</v>
      </c>
      <c r="BC273">
        <v>573.4</v>
      </c>
      <c r="BD273">
        <v>564.4</v>
      </c>
    </row>
    <row r="274" spans="1:56" x14ac:dyDescent="0.25">
      <c r="A274">
        <v>6096</v>
      </c>
      <c r="B274" t="s">
        <v>472</v>
      </c>
      <c r="C274">
        <v>12.355420000000001</v>
      </c>
      <c r="D274">
        <v>1.2304600000000001</v>
      </c>
      <c r="E274">
        <v>0.33</v>
      </c>
      <c r="F274">
        <v>0.52</v>
      </c>
      <c r="G274">
        <v>0</v>
      </c>
      <c r="H274">
        <v>0</v>
      </c>
      <c r="I274">
        <v>0</v>
      </c>
      <c r="J274">
        <v>12.310930000000001</v>
      </c>
      <c r="K274">
        <v>1.3929499999999999</v>
      </c>
      <c r="L274">
        <v>0.33</v>
      </c>
      <c r="M274">
        <v>0.52</v>
      </c>
      <c r="N274">
        <v>0</v>
      </c>
      <c r="O274">
        <v>0</v>
      </c>
      <c r="P274">
        <v>0</v>
      </c>
      <c r="Q274">
        <v>12.944599999999999</v>
      </c>
      <c r="R274">
        <v>0.73107</v>
      </c>
      <c r="S274">
        <v>0.33</v>
      </c>
      <c r="T274">
        <v>0.52</v>
      </c>
      <c r="U274">
        <v>0</v>
      </c>
      <c r="V274">
        <v>0</v>
      </c>
      <c r="W274">
        <v>0</v>
      </c>
      <c r="X274">
        <v>12.95973</v>
      </c>
      <c r="Y274">
        <v>0.73063999999999996</v>
      </c>
      <c r="Z274">
        <v>0.33</v>
      </c>
      <c r="AA274">
        <v>0.52</v>
      </c>
      <c r="AB274">
        <v>0</v>
      </c>
      <c r="AC274">
        <v>0</v>
      </c>
      <c r="AD274">
        <v>0</v>
      </c>
      <c r="AF274">
        <v>0.06</v>
      </c>
      <c r="AG274">
        <v>139006</v>
      </c>
      <c r="AH274">
        <v>0</v>
      </c>
      <c r="AI274">
        <v>0</v>
      </c>
      <c r="AJ274">
        <v>0</v>
      </c>
      <c r="AK274">
        <v>0</v>
      </c>
      <c r="AL274">
        <v>0.06</v>
      </c>
      <c r="AM274">
        <v>129592</v>
      </c>
      <c r="AN274">
        <v>0</v>
      </c>
      <c r="AO274">
        <v>0</v>
      </c>
      <c r="AP274">
        <v>0</v>
      </c>
      <c r="AQ274">
        <v>0</v>
      </c>
      <c r="AR274">
        <v>0.06</v>
      </c>
      <c r="AS274">
        <v>128330</v>
      </c>
      <c r="AT274">
        <v>0</v>
      </c>
      <c r="AU274">
        <v>0</v>
      </c>
      <c r="AV274">
        <v>0</v>
      </c>
      <c r="AW274">
        <v>0</v>
      </c>
      <c r="BA274">
        <v>6101</v>
      </c>
      <c r="BB274" t="s">
        <v>470</v>
      </c>
      <c r="BC274">
        <v>6399.7</v>
      </c>
      <c r="BD274">
        <v>6616.9</v>
      </c>
    </row>
    <row r="275" spans="1:56" x14ac:dyDescent="0.25">
      <c r="A275">
        <v>6097</v>
      </c>
      <c r="B275" t="s">
        <v>467</v>
      </c>
      <c r="C275">
        <v>11.26356</v>
      </c>
      <c r="D275">
        <v>0.53976000000000002</v>
      </c>
      <c r="E275">
        <v>0.33</v>
      </c>
      <c r="F275">
        <v>0</v>
      </c>
      <c r="G275">
        <v>0</v>
      </c>
      <c r="H275">
        <v>0</v>
      </c>
      <c r="I275">
        <v>0</v>
      </c>
      <c r="J275">
        <v>10.595929999999999</v>
      </c>
      <c r="K275">
        <v>1.1240000000000001</v>
      </c>
      <c r="L275">
        <v>0.33</v>
      </c>
      <c r="M275">
        <v>0</v>
      </c>
      <c r="N275">
        <v>0</v>
      </c>
      <c r="O275">
        <v>0</v>
      </c>
      <c r="P275">
        <v>0</v>
      </c>
      <c r="Q275">
        <v>11.71457</v>
      </c>
      <c r="R275">
        <v>0.46797</v>
      </c>
      <c r="S275">
        <v>0.33</v>
      </c>
      <c r="T275">
        <v>0</v>
      </c>
      <c r="U275">
        <v>0</v>
      </c>
      <c r="V275">
        <v>0</v>
      </c>
      <c r="W275">
        <v>0</v>
      </c>
      <c r="X275">
        <v>16.389410000000002</v>
      </c>
      <c r="Y275">
        <v>0</v>
      </c>
      <c r="Z275">
        <v>0.25911000000000001</v>
      </c>
      <c r="AA275">
        <v>0</v>
      </c>
      <c r="AB275">
        <v>0</v>
      </c>
      <c r="AC275">
        <v>0</v>
      </c>
      <c r="AD275">
        <v>0</v>
      </c>
      <c r="AF275">
        <v>0.13</v>
      </c>
      <c r="AG275">
        <v>104235</v>
      </c>
      <c r="AH275">
        <v>0</v>
      </c>
      <c r="AI275">
        <v>0</v>
      </c>
      <c r="AJ275">
        <v>0</v>
      </c>
      <c r="AK275">
        <v>0</v>
      </c>
      <c r="AL275">
        <v>0.14000000000000001</v>
      </c>
      <c r="AM275">
        <v>106631</v>
      </c>
      <c r="AN275">
        <v>0</v>
      </c>
      <c r="AO275">
        <v>0</v>
      </c>
      <c r="AP275">
        <v>0</v>
      </c>
      <c r="AQ275">
        <v>0</v>
      </c>
      <c r="AR275">
        <v>0.14000000000000001</v>
      </c>
      <c r="AS275">
        <v>109373</v>
      </c>
      <c r="AT275">
        <v>0</v>
      </c>
      <c r="AU275">
        <v>0</v>
      </c>
      <c r="AV275">
        <v>0</v>
      </c>
      <c r="AW275">
        <v>0</v>
      </c>
      <c r="BA275">
        <v>6094</v>
      </c>
      <c r="BB275" t="s">
        <v>471</v>
      </c>
      <c r="BC275">
        <v>550.6</v>
      </c>
      <c r="BD275">
        <v>561.9</v>
      </c>
    </row>
    <row r="276" spans="1:56" x14ac:dyDescent="0.25">
      <c r="A276">
        <v>6098</v>
      </c>
      <c r="B276" t="s">
        <v>468</v>
      </c>
      <c r="C276">
        <v>14.88659</v>
      </c>
      <c r="D276">
        <v>1.2497799999999999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14.49094</v>
      </c>
      <c r="K276">
        <v>1.2658100000000001</v>
      </c>
      <c r="L276">
        <v>0</v>
      </c>
      <c r="M276">
        <v>0.23802000000000001</v>
      </c>
      <c r="N276">
        <v>0</v>
      </c>
      <c r="O276">
        <v>0</v>
      </c>
      <c r="P276">
        <v>0</v>
      </c>
      <c r="Q276">
        <v>14.195460000000001</v>
      </c>
      <c r="R276">
        <v>1.68919</v>
      </c>
      <c r="S276">
        <v>0</v>
      </c>
      <c r="T276">
        <v>0.14981</v>
      </c>
      <c r="U276">
        <v>0</v>
      </c>
      <c r="V276">
        <v>0</v>
      </c>
      <c r="W276">
        <v>0</v>
      </c>
      <c r="X276">
        <v>11.850519999999999</v>
      </c>
      <c r="Y276">
        <v>1.4088499999999999</v>
      </c>
      <c r="Z276">
        <v>0.33</v>
      </c>
      <c r="AA276">
        <v>0.19586999999999999</v>
      </c>
      <c r="AB276">
        <v>0</v>
      </c>
      <c r="AC276">
        <v>0</v>
      </c>
      <c r="AD276">
        <v>0</v>
      </c>
      <c r="AF276">
        <v>0.06</v>
      </c>
      <c r="AG276">
        <v>309827</v>
      </c>
      <c r="AH276">
        <v>0</v>
      </c>
      <c r="AI276">
        <v>0</v>
      </c>
      <c r="AJ276">
        <v>7.0000000000000007E-2</v>
      </c>
      <c r="AK276">
        <v>361465</v>
      </c>
      <c r="AL276">
        <v>0.06</v>
      </c>
      <c r="AM276">
        <v>317065</v>
      </c>
      <c r="AN276">
        <v>0</v>
      </c>
      <c r="AO276">
        <v>0</v>
      </c>
      <c r="AP276">
        <v>7.0000000000000007E-2</v>
      </c>
      <c r="AQ276">
        <v>369910</v>
      </c>
      <c r="AR276">
        <v>0</v>
      </c>
      <c r="AS276">
        <v>0</v>
      </c>
      <c r="AT276">
        <v>0</v>
      </c>
      <c r="AU276">
        <v>0</v>
      </c>
      <c r="AV276">
        <v>7.0000000000000007E-2</v>
      </c>
      <c r="AW276">
        <v>345432</v>
      </c>
      <c r="BA276">
        <v>6096</v>
      </c>
      <c r="BB276" t="s">
        <v>472</v>
      </c>
      <c r="BC276">
        <v>528.6</v>
      </c>
      <c r="BD276">
        <v>543.29999999999995</v>
      </c>
    </row>
    <row r="277" spans="1:56" x14ac:dyDescent="0.25">
      <c r="A277">
        <v>6100</v>
      </c>
      <c r="B277" t="s">
        <v>469</v>
      </c>
      <c r="C277">
        <v>9.4119899999999994</v>
      </c>
      <c r="D277">
        <v>2.6953399999999998</v>
      </c>
      <c r="E277">
        <v>0.33</v>
      </c>
      <c r="F277">
        <v>0.20591000000000001</v>
      </c>
      <c r="G277">
        <v>0</v>
      </c>
      <c r="H277">
        <v>0</v>
      </c>
      <c r="I277">
        <v>0</v>
      </c>
      <c r="J277">
        <v>10.400650000000001</v>
      </c>
      <c r="K277">
        <v>1.7001200000000001</v>
      </c>
      <c r="L277">
        <v>0.33</v>
      </c>
      <c r="M277">
        <v>0.20843</v>
      </c>
      <c r="N277">
        <v>0</v>
      </c>
      <c r="O277">
        <v>0</v>
      </c>
      <c r="P277">
        <v>0</v>
      </c>
      <c r="Q277">
        <v>10.382070000000001</v>
      </c>
      <c r="R277">
        <v>1.7043200000000001</v>
      </c>
      <c r="S277">
        <v>0.33</v>
      </c>
      <c r="T277">
        <v>0.25733</v>
      </c>
      <c r="U277">
        <v>0</v>
      </c>
      <c r="V277">
        <v>0</v>
      </c>
      <c r="W277">
        <v>0</v>
      </c>
      <c r="X277">
        <v>13.77365</v>
      </c>
      <c r="Y277">
        <v>0.57164999999999999</v>
      </c>
      <c r="Z277">
        <v>0.33</v>
      </c>
      <c r="AA277">
        <v>0.26534000000000002</v>
      </c>
      <c r="AB277">
        <v>0</v>
      </c>
      <c r="AC277">
        <v>0</v>
      </c>
      <c r="AD277">
        <v>0</v>
      </c>
      <c r="AF277">
        <v>0.03</v>
      </c>
      <c r="AG277">
        <v>99094</v>
      </c>
      <c r="AH277">
        <v>0</v>
      </c>
      <c r="AI277">
        <v>0</v>
      </c>
      <c r="AJ277">
        <v>0.03</v>
      </c>
      <c r="AK277">
        <v>99094</v>
      </c>
      <c r="AL277">
        <v>0.03</v>
      </c>
      <c r="AM277">
        <v>84746</v>
      </c>
      <c r="AN277">
        <v>0</v>
      </c>
      <c r="AO277">
        <v>0</v>
      </c>
      <c r="AP277">
        <v>0.03</v>
      </c>
      <c r="AQ277">
        <v>84746</v>
      </c>
      <c r="AR277">
        <v>0.03</v>
      </c>
      <c r="AS277">
        <v>79048</v>
      </c>
      <c r="AT277">
        <v>0</v>
      </c>
      <c r="AU277">
        <v>0</v>
      </c>
      <c r="AV277">
        <v>0.03</v>
      </c>
      <c r="AW277">
        <v>79048</v>
      </c>
      <c r="BA277">
        <v>6102</v>
      </c>
      <c r="BB277" t="s">
        <v>473</v>
      </c>
      <c r="BC277">
        <v>1926.7</v>
      </c>
      <c r="BD277">
        <v>1933.3</v>
      </c>
    </row>
    <row r="278" spans="1:56" x14ac:dyDescent="0.25">
      <c r="A278">
        <v>6101</v>
      </c>
      <c r="B278" t="s">
        <v>470</v>
      </c>
      <c r="C278">
        <v>15.40696</v>
      </c>
      <c r="D278">
        <v>1.2490600000000001</v>
      </c>
      <c r="E278">
        <v>0.33</v>
      </c>
      <c r="F278">
        <v>0.67</v>
      </c>
      <c r="G278">
        <v>0</v>
      </c>
      <c r="H278">
        <v>0</v>
      </c>
      <c r="I278">
        <v>4.0026400000000004</v>
      </c>
      <c r="J278">
        <v>16.602429999999998</v>
      </c>
      <c r="K278">
        <v>1.3661000000000001</v>
      </c>
      <c r="L278">
        <v>0.33</v>
      </c>
      <c r="M278">
        <v>0.67</v>
      </c>
      <c r="N278">
        <v>0</v>
      </c>
      <c r="O278">
        <v>0</v>
      </c>
      <c r="P278">
        <v>2.6901299999999999</v>
      </c>
      <c r="Q278">
        <v>16.46265</v>
      </c>
      <c r="R278">
        <v>1.3661000000000001</v>
      </c>
      <c r="S278">
        <v>0.33</v>
      </c>
      <c r="T278">
        <v>0.67</v>
      </c>
      <c r="U278">
        <v>0</v>
      </c>
      <c r="V278">
        <v>0</v>
      </c>
      <c r="W278">
        <v>2.8299099999999999</v>
      </c>
      <c r="X278">
        <v>16.755289999999999</v>
      </c>
      <c r="Y278">
        <v>1.4073100000000001</v>
      </c>
      <c r="Z278">
        <v>0.33</v>
      </c>
      <c r="AA278">
        <v>0.67</v>
      </c>
      <c r="AB278">
        <v>0</v>
      </c>
      <c r="AC278">
        <v>0</v>
      </c>
      <c r="AD278">
        <v>2.4960599999999999</v>
      </c>
      <c r="AF278">
        <v>0.05</v>
      </c>
      <c r="AG278">
        <v>1555949</v>
      </c>
      <c r="AH278">
        <v>0</v>
      </c>
      <c r="AI278">
        <v>0</v>
      </c>
      <c r="AJ278">
        <v>0</v>
      </c>
      <c r="AK278">
        <v>0</v>
      </c>
      <c r="AL278">
        <v>0.05</v>
      </c>
      <c r="AM278">
        <v>1502778</v>
      </c>
      <c r="AN278">
        <v>0</v>
      </c>
      <c r="AO278">
        <v>0</v>
      </c>
      <c r="AP278">
        <v>0</v>
      </c>
      <c r="AQ278">
        <v>0</v>
      </c>
      <c r="AR278">
        <v>0.05</v>
      </c>
      <c r="AS278">
        <v>1440542</v>
      </c>
      <c r="AT278">
        <v>0</v>
      </c>
      <c r="AU278">
        <v>0</v>
      </c>
      <c r="AV278">
        <v>0</v>
      </c>
      <c r="AW278">
        <v>0</v>
      </c>
      <c r="BA278">
        <v>6120</v>
      </c>
      <c r="BB278" t="s">
        <v>474</v>
      </c>
      <c r="BC278">
        <v>1167.0999999999999</v>
      </c>
      <c r="BD278">
        <v>1158.0999999999999</v>
      </c>
    </row>
    <row r="279" spans="1:56" x14ac:dyDescent="0.25">
      <c r="A279">
        <v>6102</v>
      </c>
      <c r="B279" t="s">
        <v>473</v>
      </c>
      <c r="C279">
        <v>11.28398</v>
      </c>
      <c r="D279">
        <v>1.21072</v>
      </c>
      <c r="E279">
        <v>0.33</v>
      </c>
      <c r="F279">
        <v>0.67</v>
      </c>
      <c r="G279">
        <v>0</v>
      </c>
      <c r="H279">
        <v>0</v>
      </c>
      <c r="I279">
        <v>0.96484999999999999</v>
      </c>
      <c r="J279">
        <v>12.09169</v>
      </c>
      <c r="K279">
        <v>1.04139</v>
      </c>
      <c r="L279">
        <v>0.33</v>
      </c>
      <c r="M279">
        <v>0.67</v>
      </c>
      <c r="N279">
        <v>0</v>
      </c>
      <c r="O279">
        <v>0</v>
      </c>
      <c r="P279">
        <v>0.52125999999999995</v>
      </c>
      <c r="Q279">
        <v>11.99385</v>
      </c>
      <c r="R279">
        <v>1.0653999999999999</v>
      </c>
      <c r="S279">
        <v>0.33</v>
      </c>
      <c r="T279">
        <v>0.67</v>
      </c>
      <c r="U279">
        <v>0</v>
      </c>
      <c r="V279">
        <v>0</v>
      </c>
      <c r="W279">
        <v>0.54008999999999996</v>
      </c>
      <c r="X279">
        <v>11.923209999999999</v>
      </c>
      <c r="Y279">
        <v>1.1191800000000001</v>
      </c>
      <c r="Z279">
        <v>0.33</v>
      </c>
      <c r="AA279">
        <v>0.67</v>
      </c>
      <c r="AB279">
        <v>0</v>
      </c>
      <c r="AC279">
        <v>0</v>
      </c>
      <c r="AD279">
        <v>0.55469000000000002</v>
      </c>
      <c r="AF279">
        <v>0.04</v>
      </c>
      <c r="AG279">
        <v>467386</v>
      </c>
      <c r="AH279">
        <v>0</v>
      </c>
      <c r="AI279">
        <v>0</v>
      </c>
      <c r="AJ279">
        <v>0</v>
      </c>
      <c r="AK279">
        <v>0</v>
      </c>
      <c r="AL279">
        <v>0.04</v>
      </c>
      <c r="AM279">
        <v>500174</v>
      </c>
      <c r="AN279">
        <v>0</v>
      </c>
      <c r="AO279">
        <v>0</v>
      </c>
      <c r="AP279">
        <v>0</v>
      </c>
      <c r="AQ279">
        <v>0</v>
      </c>
      <c r="AR279">
        <v>0.05</v>
      </c>
      <c r="AS279">
        <v>573509</v>
      </c>
      <c r="AT279">
        <v>0</v>
      </c>
      <c r="AU279">
        <v>0</v>
      </c>
      <c r="AV279">
        <v>0</v>
      </c>
      <c r="AW279">
        <v>0</v>
      </c>
      <c r="BA279">
        <v>6138</v>
      </c>
      <c r="BB279" t="s">
        <v>475</v>
      </c>
      <c r="BC279">
        <v>377</v>
      </c>
      <c r="BD279">
        <v>373.1</v>
      </c>
    </row>
    <row r="280" spans="1:56" x14ac:dyDescent="0.25">
      <c r="A280">
        <v>6120</v>
      </c>
      <c r="B280" t="s">
        <v>474</v>
      </c>
      <c r="C280">
        <v>7.0597500000000002</v>
      </c>
      <c r="D280">
        <v>0.71794999999999998</v>
      </c>
      <c r="E280">
        <v>0.33</v>
      </c>
      <c r="F280">
        <v>0</v>
      </c>
      <c r="G280">
        <v>0</v>
      </c>
      <c r="H280">
        <v>0</v>
      </c>
      <c r="I280">
        <v>0</v>
      </c>
      <c r="J280">
        <v>7.2064000000000004</v>
      </c>
      <c r="K280">
        <v>1.31067</v>
      </c>
      <c r="L280">
        <v>0.33</v>
      </c>
      <c r="M280">
        <v>0</v>
      </c>
      <c r="N280">
        <v>0</v>
      </c>
      <c r="O280">
        <v>0</v>
      </c>
      <c r="P280">
        <v>0</v>
      </c>
      <c r="Q280">
        <v>7.7990399999999998</v>
      </c>
      <c r="R280">
        <v>0.73360999999999998</v>
      </c>
      <c r="S280">
        <v>0.33</v>
      </c>
      <c r="T280">
        <v>0.65</v>
      </c>
      <c r="U280">
        <v>0</v>
      </c>
      <c r="V280">
        <v>0</v>
      </c>
      <c r="W280">
        <v>0</v>
      </c>
      <c r="X280">
        <v>8.4116300000000006</v>
      </c>
      <c r="Y280">
        <v>0.62585000000000002</v>
      </c>
      <c r="Z280">
        <v>0.33</v>
      </c>
      <c r="AA280">
        <v>0.65</v>
      </c>
      <c r="AB280">
        <v>0</v>
      </c>
      <c r="AC280">
        <v>0</v>
      </c>
      <c r="AD280">
        <v>0</v>
      </c>
      <c r="AF280">
        <v>0.06</v>
      </c>
      <c r="AG280">
        <v>565020</v>
      </c>
      <c r="AH280">
        <v>0</v>
      </c>
      <c r="AI280">
        <v>0</v>
      </c>
      <c r="AJ280">
        <v>0</v>
      </c>
      <c r="AK280">
        <v>0</v>
      </c>
      <c r="AL280">
        <v>0.06</v>
      </c>
      <c r="AM280">
        <v>521885</v>
      </c>
      <c r="AN280">
        <v>0</v>
      </c>
      <c r="AO280">
        <v>0</v>
      </c>
      <c r="AP280">
        <v>0</v>
      </c>
      <c r="AQ280">
        <v>0</v>
      </c>
      <c r="AR280">
        <v>0.06</v>
      </c>
      <c r="AS280">
        <v>497627</v>
      </c>
      <c r="AT280">
        <v>0</v>
      </c>
      <c r="AU280">
        <v>0</v>
      </c>
      <c r="AV280">
        <v>0</v>
      </c>
      <c r="AW280">
        <v>0</v>
      </c>
      <c r="BA280">
        <v>5751</v>
      </c>
      <c r="BB280" t="s">
        <v>476</v>
      </c>
      <c r="BC280">
        <v>641.9</v>
      </c>
      <c r="BD280">
        <v>630.5</v>
      </c>
    </row>
    <row r="281" spans="1:56" x14ac:dyDescent="0.25">
      <c r="A281">
        <v>6138</v>
      </c>
      <c r="B281" t="s">
        <v>475</v>
      </c>
      <c r="C281">
        <v>10.39429</v>
      </c>
      <c r="D281">
        <v>0.35819000000000001</v>
      </c>
      <c r="E281">
        <v>0.33</v>
      </c>
      <c r="F281">
        <v>1.34</v>
      </c>
      <c r="G281">
        <v>0</v>
      </c>
      <c r="H281">
        <v>0</v>
      </c>
      <c r="I281">
        <v>0</v>
      </c>
      <c r="J281">
        <v>10.348750000000001</v>
      </c>
      <c r="K281">
        <v>0</v>
      </c>
      <c r="L281">
        <v>0.33</v>
      </c>
      <c r="M281">
        <v>1.34</v>
      </c>
      <c r="N281">
        <v>0</v>
      </c>
      <c r="O281">
        <v>0</v>
      </c>
      <c r="P281">
        <v>0</v>
      </c>
      <c r="Q281">
        <v>10.95852</v>
      </c>
      <c r="R281">
        <v>0</v>
      </c>
      <c r="S281">
        <v>0.33</v>
      </c>
      <c r="T281">
        <v>1.34</v>
      </c>
      <c r="U281">
        <v>0</v>
      </c>
      <c r="V281">
        <v>0</v>
      </c>
      <c r="W281">
        <v>0</v>
      </c>
      <c r="X281">
        <v>13.98067</v>
      </c>
      <c r="Y281">
        <v>1.21746</v>
      </c>
      <c r="Z281">
        <v>0.33</v>
      </c>
      <c r="AA281">
        <v>1.34</v>
      </c>
      <c r="AB281">
        <v>0</v>
      </c>
      <c r="AC281">
        <v>0</v>
      </c>
      <c r="AD281">
        <v>0</v>
      </c>
      <c r="AF281">
        <v>0.03</v>
      </c>
      <c r="AG281">
        <v>75622</v>
      </c>
      <c r="AH281">
        <v>0</v>
      </c>
      <c r="AI281">
        <v>0</v>
      </c>
      <c r="AJ281">
        <v>0</v>
      </c>
      <c r="AK281">
        <v>0</v>
      </c>
      <c r="AL281">
        <v>0.03</v>
      </c>
      <c r="AM281">
        <v>71293</v>
      </c>
      <c r="AN281">
        <v>0</v>
      </c>
      <c r="AO281">
        <v>0</v>
      </c>
      <c r="AP281">
        <v>0</v>
      </c>
      <c r="AQ281">
        <v>0</v>
      </c>
      <c r="AR281">
        <v>0.05</v>
      </c>
      <c r="AS281">
        <v>123558</v>
      </c>
      <c r="AT281">
        <v>0</v>
      </c>
      <c r="AU281">
        <v>0</v>
      </c>
      <c r="AV281">
        <v>0</v>
      </c>
      <c r="AW281">
        <v>0</v>
      </c>
      <c r="BA281">
        <v>6165</v>
      </c>
      <c r="BB281" t="s">
        <v>477</v>
      </c>
      <c r="BC281">
        <v>182</v>
      </c>
      <c r="BD281">
        <v>180</v>
      </c>
    </row>
    <row r="282" spans="1:56" x14ac:dyDescent="0.25">
      <c r="A282">
        <v>6165</v>
      </c>
      <c r="B282" t="s">
        <v>477</v>
      </c>
      <c r="C282">
        <v>12.086779999999999</v>
      </c>
      <c r="D282">
        <v>2.1904599999999999</v>
      </c>
      <c r="E282">
        <v>0.33</v>
      </c>
      <c r="F282">
        <v>0</v>
      </c>
      <c r="G282">
        <v>0</v>
      </c>
      <c r="H282">
        <v>0</v>
      </c>
      <c r="I282">
        <v>0</v>
      </c>
      <c r="J282">
        <v>13.351660000000001</v>
      </c>
      <c r="K282">
        <v>1.6780600000000001</v>
      </c>
      <c r="L282">
        <v>0.33</v>
      </c>
      <c r="M282">
        <v>0</v>
      </c>
      <c r="N282">
        <v>0</v>
      </c>
      <c r="O282">
        <v>0</v>
      </c>
      <c r="P282">
        <v>0</v>
      </c>
      <c r="Q282">
        <v>14.78647</v>
      </c>
      <c r="R282">
        <v>0.86402000000000001</v>
      </c>
      <c r="S282">
        <v>0.33</v>
      </c>
      <c r="T282">
        <v>0</v>
      </c>
      <c r="U282">
        <v>0</v>
      </c>
      <c r="V282">
        <v>0</v>
      </c>
      <c r="W282">
        <v>0</v>
      </c>
      <c r="X282">
        <v>13.79552</v>
      </c>
      <c r="Y282">
        <v>0.85594000000000003</v>
      </c>
      <c r="Z282">
        <v>0.32998</v>
      </c>
      <c r="AA282">
        <v>0</v>
      </c>
      <c r="AB282">
        <v>0</v>
      </c>
      <c r="AC282">
        <v>0</v>
      </c>
      <c r="AD282">
        <v>0</v>
      </c>
      <c r="AF282">
        <v>0.09</v>
      </c>
      <c r="AG282">
        <v>81580</v>
      </c>
      <c r="AH282">
        <v>0</v>
      </c>
      <c r="AI282">
        <v>0</v>
      </c>
      <c r="AJ282">
        <v>0</v>
      </c>
      <c r="AK282">
        <v>0</v>
      </c>
      <c r="AL282">
        <v>0.1</v>
      </c>
      <c r="AM282">
        <v>86226</v>
      </c>
      <c r="AN282">
        <v>0</v>
      </c>
      <c r="AO282">
        <v>0</v>
      </c>
      <c r="AP282">
        <v>0</v>
      </c>
      <c r="AQ282">
        <v>0</v>
      </c>
      <c r="AR282">
        <v>0.1</v>
      </c>
      <c r="AS282">
        <v>87717</v>
      </c>
      <c r="AT282">
        <v>0</v>
      </c>
      <c r="AU282">
        <v>0</v>
      </c>
      <c r="AV282">
        <v>0</v>
      </c>
      <c r="AW282">
        <v>0</v>
      </c>
      <c r="BA282">
        <v>6175</v>
      </c>
      <c r="BB282" t="s">
        <v>478</v>
      </c>
      <c r="BC282">
        <v>635</v>
      </c>
      <c r="BD282">
        <v>616.9</v>
      </c>
    </row>
    <row r="283" spans="1:56" x14ac:dyDescent="0.25">
      <c r="A283">
        <v>6175</v>
      </c>
      <c r="B283" t="s">
        <v>478</v>
      </c>
      <c r="C283">
        <v>14.208600000000001</v>
      </c>
      <c r="D283">
        <v>1.53382</v>
      </c>
      <c r="E283">
        <v>0.33</v>
      </c>
      <c r="F283">
        <v>0</v>
      </c>
      <c r="G283">
        <v>0</v>
      </c>
      <c r="H283">
        <v>0</v>
      </c>
      <c r="I283">
        <v>0</v>
      </c>
      <c r="J283">
        <v>15.192740000000001</v>
      </c>
      <c r="K283">
        <v>0.77749000000000001</v>
      </c>
      <c r="L283">
        <v>0.33</v>
      </c>
      <c r="M283">
        <v>0</v>
      </c>
      <c r="N283">
        <v>0</v>
      </c>
      <c r="O283">
        <v>0</v>
      </c>
      <c r="P283">
        <v>0</v>
      </c>
      <c r="Q283">
        <v>14.999739999999999</v>
      </c>
      <c r="R283">
        <v>1.0583199999999999</v>
      </c>
      <c r="S283">
        <v>0.33</v>
      </c>
      <c r="T283">
        <v>0</v>
      </c>
      <c r="U283">
        <v>0</v>
      </c>
      <c r="V283">
        <v>0</v>
      </c>
      <c r="W283">
        <v>0</v>
      </c>
      <c r="X283">
        <v>15.65279</v>
      </c>
      <c r="Y283">
        <v>0.76932</v>
      </c>
      <c r="Z283">
        <v>0.33</v>
      </c>
      <c r="AA283">
        <v>0</v>
      </c>
      <c r="AB283">
        <v>0</v>
      </c>
      <c r="AC283">
        <v>0</v>
      </c>
      <c r="AD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BA283">
        <v>6219</v>
      </c>
      <c r="BB283" t="s">
        <v>479</v>
      </c>
      <c r="BC283">
        <v>2168.8000000000002</v>
      </c>
      <c r="BD283">
        <v>2256.8000000000002</v>
      </c>
    </row>
    <row r="284" spans="1:56" x14ac:dyDescent="0.25">
      <c r="A284">
        <v>6219</v>
      </c>
      <c r="B284" t="s">
        <v>479</v>
      </c>
      <c r="C284">
        <v>11.21123</v>
      </c>
      <c r="D284">
        <v>1.60694</v>
      </c>
      <c r="E284">
        <v>0.33</v>
      </c>
      <c r="F284">
        <v>1.34</v>
      </c>
      <c r="G284">
        <v>0</v>
      </c>
      <c r="H284">
        <v>0</v>
      </c>
      <c r="I284">
        <v>1.24098</v>
      </c>
      <c r="J284">
        <v>11.77225</v>
      </c>
      <c r="K284">
        <v>1.20495</v>
      </c>
      <c r="L284">
        <v>0.33</v>
      </c>
      <c r="M284">
        <v>1.34</v>
      </c>
      <c r="N284">
        <v>0</v>
      </c>
      <c r="O284">
        <v>0</v>
      </c>
      <c r="P284">
        <v>1.26793</v>
      </c>
      <c r="Q284">
        <v>12.10507</v>
      </c>
      <c r="R284">
        <v>2.38754</v>
      </c>
      <c r="S284">
        <v>0.33</v>
      </c>
      <c r="T284">
        <v>0.17599999999999999</v>
      </c>
      <c r="U284">
        <v>0</v>
      </c>
      <c r="V284">
        <v>0</v>
      </c>
      <c r="W284">
        <v>1.3134399999999999</v>
      </c>
      <c r="X284">
        <v>15.65812</v>
      </c>
      <c r="Y284">
        <v>1.5856600000000001</v>
      </c>
      <c r="Z284">
        <v>0.33</v>
      </c>
      <c r="AA284">
        <v>2.3550000000000001E-2</v>
      </c>
      <c r="AB284">
        <v>0</v>
      </c>
      <c r="AC284">
        <v>0</v>
      </c>
      <c r="AD284">
        <v>0.54739000000000004</v>
      </c>
      <c r="AF284">
        <v>0.01</v>
      </c>
      <c r="AG284">
        <v>88346</v>
      </c>
      <c r="AH284">
        <v>0</v>
      </c>
      <c r="AI284">
        <v>0</v>
      </c>
      <c r="AJ284">
        <v>0</v>
      </c>
      <c r="AK284">
        <v>0</v>
      </c>
      <c r="AL284">
        <v>0.01</v>
      </c>
      <c r="AM284">
        <v>84195</v>
      </c>
      <c r="AN284">
        <v>0</v>
      </c>
      <c r="AO284">
        <v>0</v>
      </c>
      <c r="AP284">
        <v>0.01</v>
      </c>
      <c r="AQ284">
        <v>84195</v>
      </c>
      <c r="AR284">
        <v>0.01</v>
      </c>
      <c r="AS284">
        <v>79495</v>
      </c>
      <c r="AT284">
        <v>0</v>
      </c>
      <c r="AU284">
        <v>0</v>
      </c>
      <c r="AV284">
        <v>0.02</v>
      </c>
      <c r="AW284">
        <v>158990</v>
      </c>
      <c r="BA284">
        <v>6246</v>
      </c>
      <c r="BB284" t="s">
        <v>480</v>
      </c>
      <c r="BC284">
        <v>160.30000000000001</v>
      </c>
      <c r="BD284">
        <v>162.19999999999999</v>
      </c>
    </row>
    <row r="285" spans="1:56" x14ac:dyDescent="0.25">
      <c r="A285">
        <v>6246</v>
      </c>
      <c r="B285" t="s">
        <v>480</v>
      </c>
      <c r="C285">
        <v>8.5327500000000001</v>
      </c>
      <c r="D285">
        <v>3.21678</v>
      </c>
      <c r="E285">
        <v>0.33</v>
      </c>
      <c r="F285">
        <v>0.67</v>
      </c>
      <c r="G285">
        <v>0</v>
      </c>
      <c r="H285">
        <v>0</v>
      </c>
      <c r="I285">
        <v>1.6410899999999999</v>
      </c>
      <c r="J285">
        <v>8.8596699999999995</v>
      </c>
      <c r="K285">
        <v>2.7524000000000002</v>
      </c>
      <c r="L285">
        <v>0.33</v>
      </c>
      <c r="M285">
        <v>0.67</v>
      </c>
      <c r="N285">
        <v>0</v>
      </c>
      <c r="O285">
        <v>0</v>
      </c>
      <c r="P285">
        <v>1.6617599999999999</v>
      </c>
      <c r="Q285">
        <v>9.86707</v>
      </c>
      <c r="R285">
        <v>2.5363500000000001</v>
      </c>
      <c r="S285">
        <v>0.33</v>
      </c>
      <c r="T285">
        <v>0.67</v>
      </c>
      <c r="U285">
        <v>0</v>
      </c>
      <c r="V285">
        <v>0</v>
      </c>
      <c r="W285">
        <v>1.72254</v>
      </c>
      <c r="X285">
        <v>11.46519</v>
      </c>
      <c r="Y285">
        <v>1.32321</v>
      </c>
      <c r="Z285">
        <v>0.33</v>
      </c>
      <c r="AA285">
        <v>0</v>
      </c>
      <c r="AB285">
        <v>0</v>
      </c>
      <c r="AC285">
        <v>0</v>
      </c>
      <c r="AD285">
        <v>1.8448800000000001</v>
      </c>
      <c r="AF285">
        <v>0.09</v>
      </c>
      <c r="AG285">
        <v>77294</v>
      </c>
      <c r="AH285">
        <v>0</v>
      </c>
      <c r="AI285">
        <v>0</v>
      </c>
      <c r="AJ285">
        <v>0</v>
      </c>
      <c r="AK285">
        <v>0</v>
      </c>
      <c r="AL285">
        <v>0.09</v>
      </c>
      <c r="AM285">
        <v>73944</v>
      </c>
      <c r="AN285">
        <v>0</v>
      </c>
      <c r="AO285">
        <v>0</v>
      </c>
      <c r="AP285">
        <v>0</v>
      </c>
      <c r="AQ285">
        <v>0</v>
      </c>
      <c r="AR285">
        <v>0.09</v>
      </c>
      <c r="AS285">
        <v>75724</v>
      </c>
      <c r="AT285">
        <v>0</v>
      </c>
      <c r="AU285">
        <v>0</v>
      </c>
      <c r="AV285">
        <v>0</v>
      </c>
      <c r="AW285">
        <v>0</v>
      </c>
      <c r="BA285">
        <v>6273</v>
      </c>
      <c r="BB285" t="s">
        <v>481</v>
      </c>
      <c r="BC285">
        <v>573.5</v>
      </c>
      <c r="BD285">
        <v>589.29999999999995</v>
      </c>
    </row>
    <row r="286" spans="1:56" x14ac:dyDescent="0.25">
      <c r="A286">
        <v>6264</v>
      </c>
      <c r="B286" t="s">
        <v>513</v>
      </c>
      <c r="C286">
        <v>8.9339899999999997</v>
      </c>
      <c r="D286">
        <v>0.85707</v>
      </c>
      <c r="E286">
        <v>0.33</v>
      </c>
      <c r="F286">
        <v>0</v>
      </c>
      <c r="G286">
        <v>0</v>
      </c>
      <c r="H286">
        <v>0</v>
      </c>
      <c r="I286">
        <v>4.0499900000000002</v>
      </c>
      <c r="J286">
        <v>9.1627600000000005</v>
      </c>
      <c r="K286">
        <v>0.66524000000000005</v>
      </c>
      <c r="L286">
        <v>0.33</v>
      </c>
      <c r="M286">
        <v>0</v>
      </c>
      <c r="N286">
        <v>0</v>
      </c>
      <c r="O286">
        <v>0</v>
      </c>
      <c r="P286">
        <v>4.05</v>
      </c>
      <c r="Q286">
        <v>10.400510000000001</v>
      </c>
      <c r="R286">
        <v>0.46740999999999999</v>
      </c>
      <c r="S286">
        <v>0.33</v>
      </c>
      <c r="T286">
        <v>0</v>
      </c>
      <c r="U286">
        <v>0</v>
      </c>
      <c r="V286">
        <v>0</v>
      </c>
      <c r="W286">
        <v>4.05</v>
      </c>
      <c r="X286">
        <v>11.70553</v>
      </c>
      <c r="Y286">
        <v>0.47162999999999999</v>
      </c>
      <c r="Z286">
        <v>0.33</v>
      </c>
      <c r="AA286">
        <v>0</v>
      </c>
      <c r="AB286">
        <v>0</v>
      </c>
      <c r="AC286">
        <v>0</v>
      </c>
      <c r="AD286">
        <v>4.05</v>
      </c>
      <c r="AF286">
        <v>0.05</v>
      </c>
      <c r="AG286">
        <v>203446</v>
      </c>
      <c r="AH286">
        <v>0</v>
      </c>
      <c r="AI286">
        <v>0</v>
      </c>
      <c r="AJ286">
        <v>0</v>
      </c>
      <c r="AK286">
        <v>0</v>
      </c>
      <c r="AL286">
        <v>0.05</v>
      </c>
      <c r="AM286">
        <v>220438</v>
      </c>
      <c r="AN286">
        <v>0</v>
      </c>
      <c r="AO286">
        <v>0</v>
      </c>
      <c r="AP286">
        <v>0</v>
      </c>
      <c r="AQ286">
        <v>0</v>
      </c>
      <c r="AR286">
        <v>0.05</v>
      </c>
      <c r="AS286">
        <v>195155</v>
      </c>
      <c r="AT286">
        <v>0</v>
      </c>
      <c r="AU286">
        <v>0</v>
      </c>
      <c r="AV286">
        <v>0</v>
      </c>
      <c r="AW286">
        <v>0</v>
      </c>
      <c r="BA286">
        <v>6408</v>
      </c>
      <c r="BB286" t="s">
        <v>482</v>
      </c>
      <c r="BC286">
        <v>846.2</v>
      </c>
      <c r="BD286">
        <v>886.9</v>
      </c>
    </row>
    <row r="287" spans="1:56" x14ac:dyDescent="0.25">
      <c r="A287">
        <v>6273</v>
      </c>
      <c r="B287" t="s">
        <v>481</v>
      </c>
      <c r="C287">
        <v>8.9661200000000001</v>
      </c>
      <c r="D287">
        <v>0.82632000000000005</v>
      </c>
      <c r="E287">
        <v>0.33</v>
      </c>
      <c r="F287">
        <v>0.75844999999999996</v>
      </c>
      <c r="G287">
        <v>0</v>
      </c>
      <c r="H287">
        <v>0</v>
      </c>
      <c r="I287">
        <v>0.54323999999999995</v>
      </c>
      <c r="J287">
        <v>9.5936299999999992</v>
      </c>
      <c r="K287">
        <v>0.93374999999999997</v>
      </c>
      <c r="L287">
        <v>0.33</v>
      </c>
      <c r="M287">
        <v>1.34</v>
      </c>
      <c r="N287">
        <v>0</v>
      </c>
      <c r="O287">
        <v>0</v>
      </c>
      <c r="P287">
        <v>0</v>
      </c>
      <c r="Q287">
        <v>9.6791099999999997</v>
      </c>
      <c r="R287">
        <v>0.81006</v>
      </c>
      <c r="S287">
        <v>0.33</v>
      </c>
      <c r="T287">
        <v>1.34</v>
      </c>
      <c r="U287">
        <v>0</v>
      </c>
      <c r="V287">
        <v>0</v>
      </c>
      <c r="W287">
        <v>0</v>
      </c>
      <c r="X287">
        <v>11.1829</v>
      </c>
      <c r="Y287">
        <v>0.89824000000000004</v>
      </c>
      <c r="Z287">
        <v>0.33</v>
      </c>
      <c r="AA287">
        <v>1.34</v>
      </c>
      <c r="AB287">
        <v>0</v>
      </c>
      <c r="AC287">
        <v>0</v>
      </c>
      <c r="AD287">
        <v>0</v>
      </c>
      <c r="AF287">
        <v>0.08</v>
      </c>
      <c r="AG287">
        <v>256822</v>
      </c>
      <c r="AH287">
        <v>0</v>
      </c>
      <c r="AI287">
        <v>0</v>
      </c>
      <c r="AJ287">
        <v>0</v>
      </c>
      <c r="AK287">
        <v>0</v>
      </c>
      <c r="AL287">
        <v>0.09</v>
      </c>
      <c r="AM287">
        <v>253122</v>
      </c>
      <c r="AN287">
        <v>0</v>
      </c>
      <c r="AO287">
        <v>0</v>
      </c>
      <c r="AP287">
        <v>0</v>
      </c>
      <c r="AQ287">
        <v>0</v>
      </c>
      <c r="AR287">
        <v>0.09</v>
      </c>
      <c r="AS287">
        <v>242406</v>
      </c>
      <c r="AT287">
        <v>0</v>
      </c>
      <c r="AU287">
        <v>0</v>
      </c>
      <c r="AV287">
        <v>0</v>
      </c>
      <c r="AW287">
        <v>0</v>
      </c>
      <c r="BA287">
        <v>6453</v>
      </c>
      <c r="BB287" t="s">
        <v>483</v>
      </c>
      <c r="BC287">
        <v>596</v>
      </c>
      <c r="BD287">
        <v>580.20000000000005</v>
      </c>
    </row>
    <row r="288" spans="1:56" x14ac:dyDescent="0.25">
      <c r="A288">
        <v>6408</v>
      </c>
      <c r="B288" t="s">
        <v>482</v>
      </c>
      <c r="C288">
        <v>10.446300000000001</v>
      </c>
      <c r="D288">
        <v>0.77951000000000004</v>
      </c>
      <c r="E288">
        <v>0.33</v>
      </c>
      <c r="F288">
        <v>0.38846000000000003</v>
      </c>
      <c r="G288">
        <v>0</v>
      </c>
      <c r="H288">
        <v>0</v>
      </c>
      <c r="I288">
        <v>1.8065899999999999</v>
      </c>
      <c r="J288">
        <v>9.7278699999999994</v>
      </c>
      <c r="K288">
        <v>0.80784</v>
      </c>
      <c r="L288">
        <v>0.33</v>
      </c>
      <c r="M288">
        <v>0.47606999999999999</v>
      </c>
      <c r="N288">
        <v>0</v>
      </c>
      <c r="O288">
        <v>0</v>
      </c>
      <c r="P288">
        <v>1.86772</v>
      </c>
      <c r="Q288">
        <v>10.33775</v>
      </c>
      <c r="R288">
        <v>0.60868</v>
      </c>
      <c r="S288">
        <v>0.33</v>
      </c>
      <c r="T288">
        <v>0.49613000000000002</v>
      </c>
      <c r="U288">
        <v>0</v>
      </c>
      <c r="V288">
        <v>0</v>
      </c>
      <c r="W288">
        <v>1.67109</v>
      </c>
      <c r="X288">
        <v>10.599030000000001</v>
      </c>
      <c r="Y288">
        <v>0.58743000000000001</v>
      </c>
      <c r="Z288">
        <v>0.33</v>
      </c>
      <c r="AA288">
        <v>0.44163999999999998</v>
      </c>
      <c r="AB288">
        <v>0</v>
      </c>
      <c r="AC288">
        <v>0</v>
      </c>
      <c r="AD288">
        <v>1.7381</v>
      </c>
      <c r="AF288">
        <v>0.05</v>
      </c>
      <c r="AG288">
        <v>221174</v>
      </c>
      <c r="AH288">
        <v>0</v>
      </c>
      <c r="AI288">
        <v>0</v>
      </c>
      <c r="AJ288">
        <v>0.05</v>
      </c>
      <c r="AK288">
        <v>221174</v>
      </c>
      <c r="AL288">
        <v>0.05</v>
      </c>
      <c r="AM288">
        <v>207254</v>
      </c>
      <c r="AN288">
        <v>0</v>
      </c>
      <c r="AO288">
        <v>0</v>
      </c>
      <c r="AP288">
        <v>0.05</v>
      </c>
      <c r="AQ288">
        <v>207254</v>
      </c>
      <c r="AR288">
        <v>0.05</v>
      </c>
      <c r="AS288">
        <v>210432</v>
      </c>
      <c r="AT288">
        <v>0</v>
      </c>
      <c r="AU288">
        <v>0</v>
      </c>
      <c r="AV288">
        <v>0.05</v>
      </c>
      <c r="AW288">
        <v>210432</v>
      </c>
      <c r="BA288">
        <v>6460</v>
      </c>
      <c r="BB288" t="s">
        <v>484</v>
      </c>
      <c r="BC288">
        <v>678.2</v>
      </c>
      <c r="BD288">
        <v>684</v>
      </c>
    </row>
    <row r="289" spans="1:56" x14ac:dyDescent="0.25">
      <c r="A289">
        <v>6453</v>
      </c>
      <c r="B289" t="s">
        <v>483</v>
      </c>
      <c r="C289">
        <v>8.7262000000000004</v>
      </c>
      <c r="D289">
        <v>1.3874</v>
      </c>
      <c r="E289">
        <v>0.33</v>
      </c>
      <c r="F289">
        <v>0</v>
      </c>
      <c r="G289">
        <v>0</v>
      </c>
      <c r="H289">
        <v>0</v>
      </c>
      <c r="I289">
        <v>3.7299500000000001</v>
      </c>
      <c r="J289">
        <v>9.1430900000000008</v>
      </c>
      <c r="K289">
        <v>1.2115</v>
      </c>
      <c r="L289">
        <v>0.33</v>
      </c>
      <c r="M289">
        <v>0</v>
      </c>
      <c r="N289">
        <v>0</v>
      </c>
      <c r="O289">
        <v>0</v>
      </c>
      <c r="P289">
        <v>3.8928199999999999</v>
      </c>
      <c r="Q289">
        <v>11.31607</v>
      </c>
      <c r="R289">
        <v>0.68062999999999996</v>
      </c>
      <c r="S289">
        <v>0.33</v>
      </c>
      <c r="T289">
        <v>0</v>
      </c>
      <c r="U289">
        <v>0</v>
      </c>
      <c r="V289">
        <v>0</v>
      </c>
      <c r="W289">
        <v>2.9173</v>
      </c>
      <c r="X289">
        <v>12.05606</v>
      </c>
      <c r="Y289">
        <v>0.59858999999999996</v>
      </c>
      <c r="Z289">
        <v>0.33</v>
      </c>
      <c r="AA289">
        <v>0</v>
      </c>
      <c r="AB289">
        <v>0</v>
      </c>
      <c r="AC289">
        <v>0</v>
      </c>
      <c r="AD289">
        <v>2.9057400000000002</v>
      </c>
      <c r="AF289">
        <v>0.04</v>
      </c>
      <c r="AG289">
        <v>145840</v>
      </c>
      <c r="AH289">
        <v>0</v>
      </c>
      <c r="AI289">
        <v>0</v>
      </c>
      <c r="AJ289">
        <v>0</v>
      </c>
      <c r="AK289">
        <v>0</v>
      </c>
      <c r="AL289">
        <v>0.04</v>
      </c>
      <c r="AM289">
        <v>141276</v>
      </c>
      <c r="AN289">
        <v>0</v>
      </c>
      <c r="AO289">
        <v>0</v>
      </c>
      <c r="AP289">
        <v>0</v>
      </c>
      <c r="AQ289">
        <v>0</v>
      </c>
      <c r="AR289">
        <v>0.05</v>
      </c>
      <c r="AS289">
        <v>168688</v>
      </c>
      <c r="AT289">
        <v>0</v>
      </c>
      <c r="AU289">
        <v>0</v>
      </c>
      <c r="AV289">
        <v>0</v>
      </c>
      <c r="AW289">
        <v>0</v>
      </c>
      <c r="BA289">
        <v>6462</v>
      </c>
      <c r="BB289" t="s">
        <v>485</v>
      </c>
      <c r="BC289">
        <v>271</v>
      </c>
      <c r="BD289">
        <v>260</v>
      </c>
    </row>
    <row r="290" spans="1:56" x14ac:dyDescent="0.25">
      <c r="A290">
        <v>6460</v>
      </c>
      <c r="B290" t="s">
        <v>484</v>
      </c>
      <c r="C290">
        <v>11.57743</v>
      </c>
      <c r="D290">
        <v>0.89214000000000004</v>
      </c>
      <c r="E290">
        <v>0.33</v>
      </c>
      <c r="F290">
        <v>0.67</v>
      </c>
      <c r="G290">
        <v>0</v>
      </c>
      <c r="H290">
        <v>0</v>
      </c>
      <c r="I290">
        <v>0.95206000000000002</v>
      </c>
      <c r="J290">
        <v>12.265230000000001</v>
      </c>
      <c r="K290">
        <v>0.95365999999999995</v>
      </c>
      <c r="L290">
        <v>0.33</v>
      </c>
      <c r="M290">
        <v>0</v>
      </c>
      <c r="N290">
        <v>0</v>
      </c>
      <c r="O290">
        <v>0</v>
      </c>
      <c r="P290">
        <v>0.97948999999999997</v>
      </c>
      <c r="Q290">
        <v>12.74119</v>
      </c>
      <c r="R290">
        <v>0.87355000000000005</v>
      </c>
      <c r="S290">
        <v>0.33</v>
      </c>
      <c r="T290">
        <v>0</v>
      </c>
      <c r="U290">
        <v>0</v>
      </c>
      <c r="V290">
        <v>0</v>
      </c>
      <c r="W290">
        <v>0.99082000000000003</v>
      </c>
      <c r="X290">
        <v>13.269399999999999</v>
      </c>
      <c r="Y290">
        <v>1.06456</v>
      </c>
      <c r="Z290">
        <v>0.33</v>
      </c>
      <c r="AA290">
        <v>0</v>
      </c>
      <c r="AB290">
        <v>0</v>
      </c>
      <c r="AC290">
        <v>0</v>
      </c>
      <c r="AD290">
        <v>1.07016</v>
      </c>
      <c r="AF290">
        <v>0.08</v>
      </c>
      <c r="AG290">
        <v>275273</v>
      </c>
      <c r="AH290">
        <v>0</v>
      </c>
      <c r="AI290">
        <v>0</v>
      </c>
      <c r="AJ290">
        <v>0</v>
      </c>
      <c r="AK290">
        <v>0</v>
      </c>
      <c r="AL290">
        <v>0.08</v>
      </c>
      <c r="AM290">
        <v>253768</v>
      </c>
      <c r="AN290">
        <v>0</v>
      </c>
      <c r="AO290">
        <v>0</v>
      </c>
      <c r="AP290">
        <v>0</v>
      </c>
      <c r="AQ290">
        <v>0</v>
      </c>
      <c r="AR290">
        <v>0.08</v>
      </c>
      <c r="AS290">
        <v>255689</v>
      </c>
      <c r="AT290">
        <v>0</v>
      </c>
      <c r="AU290">
        <v>0</v>
      </c>
      <c r="AV290">
        <v>0</v>
      </c>
      <c r="AW290">
        <v>0</v>
      </c>
      <c r="BA290">
        <v>6471</v>
      </c>
      <c r="BB290" t="s">
        <v>486</v>
      </c>
      <c r="BC290">
        <v>444</v>
      </c>
      <c r="BD290">
        <v>435</v>
      </c>
    </row>
    <row r="291" spans="1:56" x14ac:dyDescent="0.25">
      <c r="A291">
        <v>6462</v>
      </c>
      <c r="B291" t="s">
        <v>485</v>
      </c>
      <c r="C291">
        <v>9.2565100000000005</v>
      </c>
      <c r="D291">
        <v>1.8435900000000001</v>
      </c>
      <c r="E291">
        <v>0.33</v>
      </c>
      <c r="F291">
        <v>0.15581999999999999</v>
      </c>
      <c r="G291">
        <v>0</v>
      </c>
      <c r="H291">
        <v>0</v>
      </c>
      <c r="I291">
        <v>2.66045</v>
      </c>
      <c r="J291">
        <v>9.2550000000000008</v>
      </c>
      <c r="K291">
        <v>4.9392500000000004</v>
      </c>
      <c r="L291">
        <v>0.33</v>
      </c>
      <c r="M291">
        <v>0.23133000000000001</v>
      </c>
      <c r="N291">
        <v>0</v>
      </c>
      <c r="O291">
        <v>0</v>
      </c>
      <c r="P291">
        <v>1.8799300000000001</v>
      </c>
      <c r="Q291">
        <v>13.731490000000001</v>
      </c>
      <c r="R291">
        <v>1.2892699999999999</v>
      </c>
      <c r="S291">
        <v>0.33</v>
      </c>
      <c r="T291">
        <v>0.23769999999999999</v>
      </c>
      <c r="U291">
        <v>0</v>
      </c>
      <c r="V291">
        <v>0</v>
      </c>
      <c r="W291">
        <v>1.96912</v>
      </c>
      <c r="X291">
        <v>14.243410000000001</v>
      </c>
      <c r="Y291">
        <v>0.53578000000000003</v>
      </c>
      <c r="Z291">
        <v>0.32999000000000001</v>
      </c>
      <c r="AA291">
        <v>0.20293</v>
      </c>
      <c r="AB291">
        <v>0</v>
      </c>
      <c r="AC291">
        <v>0</v>
      </c>
      <c r="AD291">
        <v>2.2835200000000002</v>
      </c>
      <c r="AF291">
        <v>0.08</v>
      </c>
      <c r="AG291">
        <v>88812</v>
      </c>
      <c r="AH291">
        <v>0</v>
      </c>
      <c r="AI291">
        <v>0</v>
      </c>
      <c r="AJ291">
        <v>0.04</v>
      </c>
      <c r="AK291">
        <v>44406</v>
      </c>
      <c r="AL291">
        <v>0.08</v>
      </c>
      <c r="AM291">
        <v>83825</v>
      </c>
      <c r="AN291">
        <v>0</v>
      </c>
      <c r="AO291">
        <v>0</v>
      </c>
      <c r="AP291">
        <v>0.04</v>
      </c>
      <c r="AQ291">
        <v>41913</v>
      </c>
      <c r="AR291">
        <v>0.12</v>
      </c>
      <c r="AS291">
        <v>130757</v>
      </c>
      <c r="AT291">
        <v>0</v>
      </c>
      <c r="AU291">
        <v>0</v>
      </c>
      <c r="AV291">
        <v>0.04</v>
      </c>
      <c r="AW291">
        <v>43586</v>
      </c>
      <c r="BA291">
        <v>6509</v>
      </c>
      <c r="BB291" t="s">
        <v>487</v>
      </c>
      <c r="BC291">
        <v>381.3</v>
      </c>
      <c r="BD291">
        <v>355.2</v>
      </c>
    </row>
    <row r="292" spans="1:56" x14ac:dyDescent="0.25">
      <c r="A292">
        <v>6471</v>
      </c>
      <c r="B292" t="s">
        <v>486</v>
      </c>
      <c r="C292">
        <v>11.10145</v>
      </c>
      <c r="D292">
        <v>0.77834000000000003</v>
      </c>
      <c r="E292">
        <v>0.33</v>
      </c>
      <c r="F292">
        <v>1.34</v>
      </c>
      <c r="G292">
        <v>0</v>
      </c>
      <c r="H292">
        <v>0</v>
      </c>
      <c r="I292">
        <v>0</v>
      </c>
      <c r="J292">
        <v>9.8061600000000002</v>
      </c>
      <c r="K292">
        <v>1.4255</v>
      </c>
      <c r="L292">
        <v>0.33</v>
      </c>
      <c r="M292">
        <v>1.34</v>
      </c>
      <c r="N292">
        <v>0</v>
      </c>
      <c r="O292">
        <v>0</v>
      </c>
      <c r="P292">
        <v>0</v>
      </c>
      <c r="Q292">
        <v>10.1187</v>
      </c>
      <c r="R292">
        <v>1.6889400000000001</v>
      </c>
      <c r="S292">
        <v>0.33</v>
      </c>
      <c r="T292">
        <v>1.34</v>
      </c>
      <c r="U292">
        <v>0</v>
      </c>
      <c r="V292">
        <v>0</v>
      </c>
      <c r="W292">
        <v>0</v>
      </c>
      <c r="X292">
        <v>11.287409999999999</v>
      </c>
      <c r="Y292">
        <v>0.90303999999999995</v>
      </c>
      <c r="Z292">
        <v>0.33</v>
      </c>
      <c r="AA292">
        <v>1.34</v>
      </c>
      <c r="AB292">
        <v>0</v>
      </c>
      <c r="AC292">
        <v>0</v>
      </c>
      <c r="AD292">
        <v>0</v>
      </c>
      <c r="AF292">
        <v>0.1</v>
      </c>
      <c r="AG292">
        <v>189957</v>
      </c>
      <c r="AH292">
        <v>0</v>
      </c>
      <c r="AI292">
        <v>0</v>
      </c>
      <c r="AJ292">
        <v>0</v>
      </c>
      <c r="AK292">
        <v>0</v>
      </c>
      <c r="AL292">
        <v>0.1</v>
      </c>
      <c r="AM292">
        <v>181626</v>
      </c>
      <c r="AN292">
        <v>0</v>
      </c>
      <c r="AO292">
        <v>0</v>
      </c>
      <c r="AP292">
        <v>0</v>
      </c>
      <c r="AQ292">
        <v>0</v>
      </c>
      <c r="AR292">
        <v>0.1</v>
      </c>
      <c r="AS292">
        <v>184363</v>
      </c>
      <c r="AT292">
        <v>0</v>
      </c>
      <c r="AU292">
        <v>0</v>
      </c>
      <c r="AV292">
        <v>0</v>
      </c>
      <c r="AW292">
        <v>0</v>
      </c>
      <c r="BA292">
        <v>6512</v>
      </c>
      <c r="BB292" t="s">
        <v>488</v>
      </c>
      <c r="BC292">
        <v>375.8</v>
      </c>
      <c r="BD292">
        <v>374.7</v>
      </c>
    </row>
    <row r="293" spans="1:56" x14ac:dyDescent="0.25">
      <c r="A293">
        <v>6509</v>
      </c>
      <c r="B293" t="s">
        <v>487</v>
      </c>
      <c r="C293">
        <v>9.64452</v>
      </c>
      <c r="D293">
        <v>2.17354</v>
      </c>
      <c r="E293">
        <v>0.33</v>
      </c>
      <c r="F293">
        <v>0.67</v>
      </c>
      <c r="G293">
        <v>0</v>
      </c>
      <c r="H293">
        <v>0</v>
      </c>
      <c r="I293">
        <v>0</v>
      </c>
      <c r="J293">
        <v>9.5169499999999996</v>
      </c>
      <c r="K293">
        <v>2.8242400000000001</v>
      </c>
      <c r="L293">
        <v>0.32933000000000001</v>
      </c>
      <c r="M293">
        <v>0.66864000000000001</v>
      </c>
      <c r="N293">
        <v>0</v>
      </c>
      <c r="O293">
        <v>0</v>
      </c>
      <c r="P293">
        <v>0</v>
      </c>
      <c r="Q293">
        <v>13.000819999999999</v>
      </c>
      <c r="R293">
        <v>0.82345999999999997</v>
      </c>
      <c r="S293">
        <v>0.33</v>
      </c>
      <c r="T293">
        <v>0.67</v>
      </c>
      <c r="U293">
        <v>0</v>
      </c>
      <c r="V293">
        <v>0</v>
      </c>
      <c r="W293">
        <v>0</v>
      </c>
      <c r="X293">
        <v>13.376300000000001</v>
      </c>
      <c r="Y293">
        <v>0.58016000000000001</v>
      </c>
      <c r="Z293">
        <v>0.31889000000000001</v>
      </c>
      <c r="AA293">
        <v>0.67</v>
      </c>
      <c r="AB293">
        <v>0</v>
      </c>
      <c r="AC293">
        <v>0</v>
      </c>
      <c r="AD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BA293">
        <v>6516</v>
      </c>
      <c r="BB293" t="s">
        <v>489</v>
      </c>
      <c r="BC293">
        <v>169</v>
      </c>
      <c r="BD293">
        <v>175</v>
      </c>
    </row>
    <row r="294" spans="1:56" x14ac:dyDescent="0.25">
      <c r="A294">
        <v>6512</v>
      </c>
      <c r="B294" t="s">
        <v>488</v>
      </c>
      <c r="C294">
        <v>13.51768</v>
      </c>
      <c r="D294">
        <v>1.42099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12.486700000000001</v>
      </c>
      <c r="K294">
        <v>0.82696999999999998</v>
      </c>
      <c r="L294">
        <v>0.33</v>
      </c>
      <c r="M294">
        <v>0</v>
      </c>
      <c r="N294">
        <v>0</v>
      </c>
      <c r="O294">
        <v>0</v>
      </c>
      <c r="P294">
        <v>0</v>
      </c>
      <c r="Q294">
        <v>13.991</v>
      </c>
      <c r="R294">
        <v>0.77227999999999997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13.74098</v>
      </c>
      <c r="Y294">
        <v>0.81988000000000005</v>
      </c>
      <c r="Z294">
        <v>0</v>
      </c>
      <c r="AA294">
        <v>0.14860000000000001</v>
      </c>
      <c r="AB294">
        <v>0</v>
      </c>
      <c r="AC294">
        <v>0</v>
      </c>
      <c r="AD294">
        <v>0</v>
      </c>
      <c r="AF294">
        <v>0.04</v>
      </c>
      <c r="AG294">
        <v>54871</v>
      </c>
      <c r="AH294">
        <v>0</v>
      </c>
      <c r="AI294">
        <v>0</v>
      </c>
      <c r="AJ294">
        <v>0</v>
      </c>
      <c r="AK294">
        <v>0</v>
      </c>
      <c r="AL294">
        <v>0.04</v>
      </c>
      <c r="AM294">
        <v>53435</v>
      </c>
      <c r="AN294">
        <v>0</v>
      </c>
      <c r="AO294">
        <v>0</v>
      </c>
      <c r="AP294">
        <v>0</v>
      </c>
      <c r="AQ294">
        <v>0</v>
      </c>
      <c r="AR294">
        <v>0.04</v>
      </c>
      <c r="AS294">
        <v>54765</v>
      </c>
      <c r="AT294">
        <v>0</v>
      </c>
      <c r="AU294">
        <v>0</v>
      </c>
      <c r="AV294">
        <v>0.02</v>
      </c>
      <c r="AW294">
        <v>27383</v>
      </c>
      <c r="BA294">
        <v>6534</v>
      </c>
      <c r="BB294" t="s">
        <v>490</v>
      </c>
      <c r="BC294">
        <v>721.4</v>
      </c>
      <c r="BD294">
        <v>693.9</v>
      </c>
    </row>
    <row r="295" spans="1:56" x14ac:dyDescent="0.25">
      <c r="A295">
        <v>6516</v>
      </c>
      <c r="B295" t="s">
        <v>489</v>
      </c>
      <c r="C295">
        <v>9.8637700000000006</v>
      </c>
      <c r="D295">
        <v>0.58052999999999999</v>
      </c>
      <c r="E295">
        <v>0.33</v>
      </c>
      <c r="F295">
        <v>0</v>
      </c>
      <c r="G295">
        <v>0</v>
      </c>
      <c r="H295">
        <v>0</v>
      </c>
      <c r="I295">
        <v>0</v>
      </c>
      <c r="J295">
        <v>8.8552199999999992</v>
      </c>
      <c r="K295">
        <v>0.90256999999999998</v>
      </c>
      <c r="L295">
        <v>0.33</v>
      </c>
      <c r="M295">
        <v>0</v>
      </c>
      <c r="N295">
        <v>0</v>
      </c>
      <c r="O295">
        <v>0</v>
      </c>
      <c r="P295">
        <v>0</v>
      </c>
      <c r="Q295">
        <v>10.25813</v>
      </c>
      <c r="R295">
        <v>1.8957200000000001</v>
      </c>
      <c r="S295">
        <v>0.33</v>
      </c>
      <c r="T295">
        <v>0</v>
      </c>
      <c r="U295">
        <v>0</v>
      </c>
      <c r="V295">
        <v>0</v>
      </c>
      <c r="W295">
        <v>0</v>
      </c>
      <c r="X295">
        <v>9.8449600000000004</v>
      </c>
      <c r="Y295">
        <v>2.5308799999999998</v>
      </c>
      <c r="Z295">
        <v>0.33</v>
      </c>
      <c r="AA295">
        <v>0</v>
      </c>
      <c r="AB295">
        <v>0</v>
      </c>
      <c r="AC295">
        <v>0</v>
      </c>
      <c r="AD295">
        <v>0</v>
      </c>
      <c r="AF295">
        <v>0.1</v>
      </c>
      <c r="AG295">
        <v>84246</v>
      </c>
      <c r="AH295">
        <v>0.1</v>
      </c>
      <c r="AI295">
        <v>84246</v>
      </c>
      <c r="AJ295">
        <v>0</v>
      </c>
      <c r="AK295">
        <v>0</v>
      </c>
      <c r="AL295">
        <v>0.1</v>
      </c>
      <c r="AM295">
        <v>75729</v>
      </c>
      <c r="AN295">
        <v>0.1</v>
      </c>
      <c r="AO295">
        <v>75729</v>
      </c>
      <c r="AP295">
        <v>0</v>
      </c>
      <c r="AQ295">
        <v>0</v>
      </c>
      <c r="AR295">
        <v>0.1</v>
      </c>
      <c r="AS295">
        <v>78864</v>
      </c>
      <c r="AT295">
        <v>0.1</v>
      </c>
      <c r="AU295">
        <v>78864</v>
      </c>
      <c r="AV295">
        <v>0</v>
      </c>
      <c r="AW295">
        <v>0</v>
      </c>
      <c r="BA295">
        <v>1935</v>
      </c>
      <c r="BB295" t="s">
        <v>491</v>
      </c>
      <c r="BC295">
        <v>1212.9000000000001</v>
      </c>
      <c r="BD295">
        <v>1214.4000000000001</v>
      </c>
    </row>
    <row r="296" spans="1:56" x14ac:dyDescent="0.25">
      <c r="A296">
        <v>6534</v>
      </c>
      <c r="B296" t="s">
        <v>490</v>
      </c>
      <c r="C296">
        <v>11.999180000000001</v>
      </c>
      <c r="D296">
        <v>0.78759999999999997</v>
      </c>
      <c r="E296">
        <v>0.33</v>
      </c>
      <c r="F296">
        <v>0</v>
      </c>
      <c r="G296">
        <v>0</v>
      </c>
      <c r="H296">
        <v>0</v>
      </c>
      <c r="I296">
        <v>1.71539</v>
      </c>
      <c r="J296">
        <v>12.42741</v>
      </c>
      <c r="K296">
        <v>0.81540000000000001</v>
      </c>
      <c r="L296">
        <v>0.33</v>
      </c>
      <c r="M296">
        <v>0</v>
      </c>
      <c r="N296">
        <v>0</v>
      </c>
      <c r="O296">
        <v>0</v>
      </c>
      <c r="P296">
        <v>1.79477</v>
      </c>
      <c r="Q296">
        <v>13.19624</v>
      </c>
      <c r="R296">
        <v>0.85748000000000002</v>
      </c>
      <c r="S296">
        <v>0.33</v>
      </c>
      <c r="T296">
        <v>0</v>
      </c>
      <c r="U296">
        <v>0</v>
      </c>
      <c r="V296">
        <v>0</v>
      </c>
      <c r="W296">
        <v>1.86446</v>
      </c>
      <c r="X296">
        <v>13.860250000000001</v>
      </c>
      <c r="Y296">
        <v>0.84089000000000003</v>
      </c>
      <c r="Z296">
        <v>0.33</v>
      </c>
      <c r="AA296">
        <v>0</v>
      </c>
      <c r="AB296">
        <v>0</v>
      </c>
      <c r="AC296">
        <v>0</v>
      </c>
      <c r="AD296">
        <v>1.9287000000000001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BA296">
        <v>6561</v>
      </c>
      <c r="BB296" t="s">
        <v>492</v>
      </c>
      <c r="BC296">
        <v>327.10000000000002</v>
      </c>
      <c r="BD296">
        <v>339.6</v>
      </c>
    </row>
    <row r="297" spans="1:56" x14ac:dyDescent="0.25">
      <c r="A297">
        <v>6561</v>
      </c>
      <c r="B297" t="s">
        <v>492</v>
      </c>
      <c r="C297">
        <v>7.8425500000000001</v>
      </c>
      <c r="D297">
        <v>0.65449999999999997</v>
      </c>
      <c r="E297">
        <v>0.33</v>
      </c>
      <c r="F297">
        <v>1.34</v>
      </c>
      <c r="G297">
        <v>0</v>
      </c>
      <c r="H297">
        <v>0</v>
      </c>
      <c r="I297">
        <v>0</v>
      </c>
      <c r="J297">
        <v>10.082509999999999</v>
      </c>
      <c r="K297">
        <v>0.26536999999999999</v>
      </c>
      <c r="L297">
        <v>0.33</v>
      </c>
      <c r="M297">
        <v>1.34</v>
      </c>
      <c r="N297">
        <v>0</v>
      </c>
      <c r="O297">
        <v>0</v>
      </c>
      <c r="P297">
        <v>0</v>
      </c>
      <c r="Q297">
        <v>11.928050000000001</v>
      </c>
      <c r="R297">
        <v>0.19419</v>
      </c>
      <c r="S297">
        <v>0.31201000000000001</v>
      </c>
      <c r="T297">
        <v>1.34</v>
      </c>
      <c r="U297">
        <v>0</v>
      </c>
      <c r="V297">
        <v>0</v>
      </c>
      <c r="W297">
        <v>0</v>
      </c>
      <c r="X297">
        <v>9.8615100000000009</v>
      </c>
      <c r="Y297">
        <v>0.19151000000000001</v>
      </c>
      <c r="Z297">
        <v>0.33</v>
      </c>
      <c r="AA297">
        <v>1.34</v>
      </c>
      <c r="AB297">
        <v>0</v>
      </c>
      <c r="AC297">
        <v>0</v>
      </c>
      <c r="AD297">
        <v>0</v>
      </c>
      <c r="AF297">
        <v>7.0000000000000007E-2</v>
      </c>
      <c r="AG297">
        <v>137449</v>
      </c>
      <c r="AH297">
        <v>0</v>
      </c>
      <c r="AI297">
        <v>0</v>
      </c>
      <c r="AJ297">
        <v>0</v>
      </c>
      <c r="AK297">
        <v>0</v>
      </c>
      <c r="AL297">
        <v>7.0000000000000007E-2</v>
      </c>
      <c r="AM297">
        <v>133518</v>
      </c>
      <c r="AN297">
        <v>0</v>
      </c>
      <c r="AO297">
        <v>0</v>
      </c>
      <c r="AP297">
        <v>0</v>
      </c>
      <c r="AQ297">
        <v>0</v>
      </c>
      <c r="AR297">
        <v>7.0000000000000007E-2</v>
      </c>
      <c r="AS297">
        <v>126400</v>
      </c>
      <c r="AT297">
        <v>0</v>
      </c>
      <c r="AU297">
        <v>0</v>
      </c>
      <c r="AV297">
        <v>0</v>
      </c>
      <c r="AW297">
        <v>0</v>
      </c>
      <c r="BA297">
        <v>6579</v>
      </c>
      <c r="BB297" t="s">
        <v>493</v>
      </c>
      <c r="BC297">
        <v>3386.8</v>
      </c>
      <c r="BD297">
        <v>3375.6</v>
      </c>
    </row>
    <row r="298" spans="1:56" x14ac:dyDescent="0.25">
      <c r="A298">
        <v>6579</v>
      </c>
      <c r="B298" t="s">
        <v>493</v>
      </c>
      <c r="C298">
        <v>12.30109</v>
      </c>
      <c r="D298">
        <v>0.74602000000000002</v>
      </c>
      <c r="E298">
        <v>0.33</v>
      </c>
      <c r="F298">
        <v>0</v>
      </c>
      <c r="G298">
        <v>0.13500000000000001</v>
      </c>
      <c r="H298">
        <v>0</v>
      </c>
      <c r="I298">
        <v>4.04284</v>
      </c>
      <c r="J298">
        <v>12.605230000000001</v>
      </c>
      <c r="K298">
        <v>0.749</v>
      </c>
      <c r="L298">
        <v>0.33</v>
      </c>
      <c r="M298">
        <v>0</v>
      </c>
      <c r="N298">
        <v>0.13500000000000001</v>
      </c>
      <c r="O298">
        <v>0</v>
      </c>
      <c r="P298">
        <v>3.8555999999999999</v>
      </c>
      <c r="Q298">
        <v>12.64616</v>
      </c>
      <c r="R298">
        <v>0.56023999999999996</v>
      </c>
      <c r="S298">
        <v>0.33</v>
      </c>
      <c r="T298">
        <v>0</v>
      </c>
      <c r="U298">
        <v>0.13500000000000001</v>
      </c>
      <c r="V298">
        <v>0</v>
      </c>
      <c r="W298">
        <v>3.9672399999999999</v>
      </c>
      <c r="X298">
        <v>12.525510000000001</v>
      </c>
      <c r="Y298">
        <v>0.65253000000000005</v>
      </c>
      <c r="Z298">
        <v>0.33</v>
      </c>
      <c r="AA298">
        <v>0</v>
      </c>
      <c r="AB298">
        <v>0.13500000000000001</v>
      </c>
      <c r="AC298">
        <v>0</v>
      </c>
      <c r="AD298">
        <v>3.9928599999999999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BA298">
        <v>6591</v>
      </c>
      <c r="BB298" t="s">
        <v>494</v>
      </c>
      <c r="BC298">
        <v>412</v>
      </c>
      <c r="BD298">
        <v>394.1</v>
      </c>
    </row>
    <row r="299" spans="1:56" x14ac:dyDescent="0.25">
      <c r="A299">
        <v>6591</v>
      </c>
      <c r="B299" t="s">
        <v>494</v>
      </c>
      <c r="C299">
        <v>12.01877</v>
      </c>
      <c r="D299">
        <v>1.9321299999999999</v>
      </c>
      <c r="E299">
        <v>0.33</v>
      </c>
      <c r="F299">
        <v>0.43412000000000001</v>
      </c>
      <c r="G299">
        <v>0</v>
      </c>
      <c r="H299">
        <v>0</v>
      </c>
      <c r="I299">
        <v>0</v>
      </c>
      <c r="J299">
        <v>13.10877</v>
      </c>
      <c r="K299">
        <v>0.79276000000000002</v>
      </c>
      <c r="L299">
        <v>0.33</v>
      </c>
      <c r="M299">
        <v>0.51556000000000002</v>
      </c>
      <c r="N299">
        <v>0</v>
      </c>
      <c r="O299">
        <v>0</v>
      </c>
      <c r="P299">
        <v>0</v>
      </c>
      <c r="Q299">
        <v>16.92388</v>
      </c>
      <c r="R299">
        <v>0</v>
      </c>
      <c r="S299">
        <v>0.33</v>
      </c>
      <c r="T299">
        <v>0.3004</v>
      </c>
      <c r="U299">
        <v>0</v>
      </c>
      <c r="V299">
        <v>0</v>
      </c>
      <c r="W299">
        <v>0</v>
      </c>
      <c r="X299">
        <v>13.99959</v>
      </c>
      <c r="Y299">
        <v>0</v>
      </c>
      <c r="Z299">
        <v>0.33</v>
      </c>
      <c r="AA299">
        <v>0.29346</v>
      </c>
      <c r="AB299">
        <v>0</v>
      </c>
      <c r="AC299">
        <v>0</v>
      </c>
      <c r="AD299">
        <v>0</v>
      </c>
      <c r="AF299">
        <v>0.05</v>
      </c>
      <c r="AG299">
        <v>93980</v>
      </c>
      <c r="AH299">
        <v>0</v>
      </c>
      <c r="AI299">
        <v>0</v>
      </c>
      <c r="AJ299">
        <v>0.03</v>
      </c>
      <c r="AK299">
        <v>56388</v>
      </c>
      <c r="AL299">
        <v>0.05</v>
      </c>
      <c r="AM299">
        <v>83814</v>
      </c>
      <c r="AN299">
        <v>0</v>
      </c>
      <c r="AO299">
        <v>0</v>
      </c>
      <c r="AP299">
        <v>0.01</v>
      </c>
      <c r="AQ299">
        <v>16763</v>
      </c>
      <c r="AR299">
        <v>0.05</v>
      </c>
      <c r="AS299">
        <v>86586</v>
      </c>
      <c r="AT299">
        <v>0</v>
      </c>
      <c r="AU299">
        <v>0</v>
      </c>
      <c r="AV299">
        <v>0.01</v>
      </c>
      <c r="AW299">
        <v>17317</v>
      </c>
      <c r="BA299">
        <v>6592</v>
      </c>
      <c r="BB299" t="s">
        <v>615</v>
      </c>
      <c r="BC299">
        <v>628.4</v>
      </c>
      <c r="BD299">
        <v>631.79999999999995</v>
      </c>
    </row>
    <row r="300" spans="1:56" x14ac:dyDescent="0.25">
      <c r="A300">
        <v>6592</v>
      </c>
      <c r="B300" t="s">
        <v>615</v>
      </c>
      <c r="C300">
        <v>9.9803800000000003</v>
      </c>
      <c r="D300">
        <v>1.2214100000000001</v>
      </c>
      <c r="E300">
        <v>0.33</v>
      </c>
      <c r="F300">
        <v>0.67</v>
      </c>
      <c r="G300">
        <v>0</v>
      </c>
      <c r="H300">
        <v>0</v>
      </c>
      <c r="I300">
        <v>0</v>
      </c>
      <c r="J300">
        <v>10.818910000000001</v>
      </c>
      <c r="K300">
        <v>0.88326000000000005</v>
      </c>
      <c r="L300">
        <v>0.33</v>
      </c>
      <c r="M300">
        <v>0.67</v>
      </c>
      <c r="N300">
        <v>0</v>
      </c>
      <c r="O300">
        <v>0</v>
      </c>
      <c r="P300">
        <v>0</v>
      </c>
      <c r="Q300">
        <v>13.90274</v>
      </c>
      <c r="R300">
        <v>0.50329000000000002</v>
      </c>
      <c r="S300">
        <v>0</v>
      </c>
      <c r="T300">
        <v>0.67</v>
      </c>
      <c r="U300">
        <v>0</v>
      </c>
      <c r="V300">
        <v>0</v>
      </c>
      <c r="W300">
        <v>0</v>
      </c>
      <c r="X300">
        <v>13.73122</v>
      </c>
      <c r="Y300">
        <v>0.41199999999999998</v>
      </c>
      <c r="Z300">
        <v>0</v>
      </c>
      <c r="AA300">
        <v>0.67</v>
      </c>
      <c r="AB300">
        <v>0</v>
      </c>
      <c r="AC300">
        <v>0</v>
      </c>
      <c r="AD300">
        <v>0</v>
      </c>
      <c r="AF300">
        <v>0.1</v>
      </c>
      <c r="AG300">
        <v>286890</v>
      </c>
      <c r="AH300">
        <v>0</v>
      </c>
      <c r="AI300">
        <v>0</v>
      </c>
      <c r="AJ300">
        <v>0</v>
      </c>
      <c r="AK300">
        <v>0</v>
      </c>
      <c r="AL300">
        <v>0.1</v>
      </c>
      <c r="AM300">
        <v>272260</v>
      </c>
      <c r="AN300">
        <v>0</v>
      </c>
      <c r="AO300">
        <v>0</v>
      </c>
      <c r="AP300">
        <v>0</v>
      </c>
      <c r="AQ300">
        <v>0</v>
      </c>
      <c r="AR300">
        <v>0.1</v>
      </c>
      <c r="AS300">
        <v>281317</v>
      </c>
      <c r="AT300">
        <v>0</v>
      </c>
      <c r="AU300">
        <v>0</v>
      </c>
      <c r="AV300">
        <v>0</v>
      </c>
      <c r="AW300">
        <v>0</v>
      </c>
      <c r="BA300">
        <v>6615</v>
      </c>
      <c r="BB300" t="s">
        <v>496</v>
      </c>
      <c r="BC300">
        <v>590.1</v>
      </c>
      <c r="BD300">
        <v>578</v>
      </c>
    </row>
    <row r="301" spans="1:56" x14ac:dyDescent="0.25">
      <c r="A301">
        <v>6615</v>
      </c>
      <c r="B301" t="s">
        <v>496</v>
      </c>
      <c r="C301">
        <v>8.8828899999999997</v>
      </c>
      <c r="D301">
        <v>1.35528</v>
      </c>
      <c r="E301">
        <v>0.33</v>
      </c>
      <c r="F301">
        <v>1.34</v>
      </c>
      <c r="G301">
        <v>0</v>
      </c>
      <c r="H301">
        <v>0</v>
      </c>
      <c r="I301">
        <v>4.0495400000000004</v>
      </c>
      <c r="J301">
        <v>8.85412</v>
      </c>
      <c r="K301">
        <v>1.43563</v>
      </c>
      <c r="L301">
        <v>0.33</v>
      </c>
      <c r="M301">
        <v>1.34</v>
      </c>
      <c r="N301">
        <v>0</v>
      </c>
      <c r="O301">
        <v>0</v>
      </c>
      <c r="P301">
        <v>4.0458299999999996</v>
      </c>
      <c r="Q301">
        <v>9.6735900000000008</v>
      </c>
      <c r="R301">
        <v>3.1031300000000002</v>
      </c>
      <c r="S301">
        <v>0.33</v>
      </c>
      <c r="T301">
        <v>1.34</v>
      </c>
      <c r="U301">
        <v>0</v>
      </c>
      <c r="V301">
        <v>0</v>
      </c>
      <c r="W301">
        <v>2.11334</v>
      </c>
      <c r="X301">
        <v>13.31217</v>
      </c>
      <c r="Y301">
        <v>1.0354000000000001</v>
      </c>
      <c r="Z301">
        <v>0.33</v>
      </c>
      <c r="AA301">
        <v>1.34</v>
      </c>
      <c r="AB301">
        <v>0</v>
      </c>
      <c r="AC301">
        <v>0</v>
      </c>
      <c r="AD301">
        <v>2.2124299999999999</v>
      </c>
      <c r="AF301">
        <v>0.05</v>
      </c>
      <c r="AG301">
        <v>257980</v>
      </c>
      <c r="AH301">
        <v>0</v>
      </c>
      <c r="AI301">
        <v>0</v>
      </c>
      <c r="AJ301">
        <v>0</v>
      </c>
      <c r="AK301">
        <v>0</v>
      </c>
      <c r="AL301">
        <v>0.05</v>
      </c>
      <c r="AM301">
        <v>235087</v>
      </c>
      <c r="AN301">
        <v>0</v>
      </c>
      <c r="AO301">
        <v>0</v>
      </c>
      <c r="AP301">
        <v>0</v>
      </c>
      <c r="AQ301">
        <v>0</v>
      </c>
      <c r="AR301">
        <v>0.05</v>
      </c>
      <c r="AS301">
        <v>217965</v>
      </c>
      <c r="AT301">
        <v>0</v>
      </c>
      <c r="AU301">
        <v>0</v>
      </c>
      <c r="AV301">
        <v>0</v>
      </c>
      <c r="AW301">
        <v>0</v>
      </c>
      <c r="BA301">
        <v>6651</v>
      </c>
      <c r="BB301" t="s">
        <v>497</v>
      </c>
      <c r="BC301">
        <v>334</v>
      </c>
      <c r="BD301">
        <v>329</v>
      </c>
    </row>
    <row r="302" spans="1:56" x14ac:dyDescent="0.25">
      <c r="A302">
        <v>6651</v>
      </c>
      <c r="B302" t="s">
        <v>497</v>
      </c>
      <c r="C302">
        <v>10.48536</v>
      </c>
      <c r="D302">
        <v>1.5209600000000001</v>
      </c>
      <c r="E302">
        <v>0.33</v>
      </c>
      <c r="F302">
        <v>0.53354999999999997</v>
      </c>
      <c r="G302">
        <v>0</v>
      </c>
      <c r="H302">
        <v>0</v>
      </c>
      <c r="I302">
        <v>3.4924300000000001</v>
      </c>
      <c r="J302">
        <v>12.54875</v>
      </c>
      <c r="K302">
        <v>1.17134</v>
      </c>
      <c r="L302">
        <v>0.33</v>
      </c>
      <c r="M302">
        <v>0.20341999999999999</v>
      </c>
      <c r="N302">
        <v>0</v>
      </c>
      <c r="O302">
        <v>0</v>
      </c>
      <c r="P302">
        <v>2.0719400000000001</v>
      </c>
      <c r="Q302">
        <v>12.85975</v>
      </c>
      <c r="R302">
        <v>1.52372</v>
      </c>
      <c r="S302">
        <v>0.33</v>
      </c>
      <c r="T302">
        <v>0.17396</v>
      </c>
      <c r="U302">
        <v>0</v>
      </c>
      <c r="V302">
        <v>0</v>
      </c>
      <c r="W302">
        <v>1.70339</v>
      </c>
      <c r="X302">
        <v>14.049939999999999</v>
      </c>
      <c r="Y302">
        <v>0.68720999999999999</v>
      </c>
      <c r="Z302">
        <v>0.33</v>
      </c>
      <c r="AA302">
        <v>0.20945</v>
      </c>
      <c r="AB302">
        <v>0</v>
      </c>
      <c r="AC302">
        <v>0</v>
      </c>
      <c r="AD302">
        <v>1.37703</v>
      </c>
      <c r="AF302">
        <v>0</v>
      </c>
      <c r="AG302">
        <v>0</v>
      </c>
      <c r="AH302">
        <v>0</v>
      </c>
      <c r="AI302">
        <v>0</v>
      </c>
      <c r="AJ302">
        <v>0.04</v>
      </c>
      <c r="AK302">
        <v>55766</v>
      </c>
      <c r="AL302">
        <v>0</v>
      </c>
      <c r="AM302">
        <v>0</v>
      </c>
      <c r="AN302">
        <v>0</v>
      </c>
      <c r="AO302">
        <v>0</v>
      </c>
      <c r="AP302">
        <v>0.04</v>
      </c>
      <c r="AQ302">
        <v>56970</v>
      </c>
      <c r="AR302">
        <v>0</v>
      </c>
      <c r="AS302">
        <v>0</v>
      </c>
      <c r="AT302">
        <v>0</v>
      </c>
      <c r="AU302">
        <v>0</v>
      </c>
      <c r="AV302">
        <v>0.04</v>
      </c>
      <c r="AW302">
        <v>50263</v>
      </c>
      <c r="BA302">
        <v>6660</v>
      </c>
      <c r="BB302" t="s">
        <v>498</v>
      </c>
      <c r="BC302">
        <v>1648.3</v>
      </c>
      <c r="BD302">
        <v>1584.4</v>
      </c>
    </row>
    <row r="303" spans="1:56" x14ac:dyDescent="0.25">
      <c r="A303">
        <v>6660</v>
      </c>
      <c r="B303" t="s">
        <v>498</v>
      </c>
      <c r="C303">
        <v>11.85488</v>
      </c>
      <c r="D303">
        <v>0.91998999999999997</v>
      </c>
      <c r="E303">
        <v>0.33</v>
      </c>
      <c r="F303">
        <v>0.30218</v>
      </c>
      <c r="G303">
        <v>0</v>
      </c>
      <c r="H303">
        <v>0</v>
      </c>
      <c r="I303">
        <v>1.97305</v>
      </c>
      <c r="J303">
        <v>12.375629999999999</v>
      </c>
      <c r="K303">
        <v>0.43082999999999999</v>
      </c>
      <c r="L303">
        <v>0.33</v>
      </c>
      <c r="M303">
        <v>0.46573999999999999</v>
      </c>
      <c r="N303">
        <v>0</v>
      </c>
      <c r="O303">
        <v>0</v>
      </c>
      <c r="P303">
        <v>1.9315</v>
      </c>
      <c r="Q303">
        <v>12.90509</v>
      </c>
      <c r="R303">
        <v>0.87475999999999998</v>
      </c>
      <c r="S303">
        <v>0.33</v>
      </c>
      <c r="T303">
        <v>0.46113999999999999</v>
      </c>
      <c r="U303">
        <v>0</v>
      </c>
      <c r="V303">
        <v>0</v>
      </c>
      <c r="W303">
        <v>0.96774000000000004</v>
      </c>
      <c r="X303">
        <v>13.80223</v>
      </c>
      <c r="Y303">
        <v>0.98007</v>
      </c>
      <c r="Z303">
        <v>0.33</v>
      </c>
      <c r="AA303">
        <v>0.42129</v>
      </c>
      <c r="AB303">
        <v>0</v>
      </c>
      <c r="AC303">
        <v>0</v>
      </c>
      <c r="AD303">
        <v>0</v>
      </c>
      <c r="AF303">
        <v>0.02</v>
      </c>
      <c r="AG303">
        <v>158028</v>
      </c>
      <c r="AH303">
        <v>0</v>
      </c>
      <c r="AI303">
        <v>0</v>
      </c>
      <c r="AJ303">
        <v>0.05</v>
      </c>
      <c r="AK303">
        <v>395071</v>
      </c>
      <c r="AL303">
        <v>0.02</v>
      </c>
      <c r="AM303">
        <v>153233</v>
      </c>
      <c r="AN303">
        <v>0</v>
      </c>
      <c r="AO303">
        <v>0</v>
      </c>
      <c r="AP303">
        <v>0.05</v>
      </c>
      <c r="AQ303">
        <v>383082</v>
      </c>
      <c r="AR303">
        <v>0.02</v>
      </c>
      <c r="AS303">
        <v>152713</v>
      </c>
      <c r="AT303">
        <v>0</v>
      </c>
      <c r="AU303">
        <v>0</v>
      </c>
      <c r="AV303">
        <v>0.05</v>
      </c>
      <c r="AW303">
        <v>381783</v>
      </c>
      <c r="BA303">
        <v>6700</v>
      </c>
      <c r="BB303" t="s">
        <v>499</v>
      </c>
      <c r="BC303">
        <v>498</v>
      </c>
      <c r="BD303">
        <v>481.5</v>
      </c>
    </row>
    <row r="304" spans="1:56" x14ac:dyDescent="0.25">
      <c r="A304">
        <v>6700</v>
      </c>
      <c r="B304" t="s">
        <v>499</v>
      </c>
      <c r="C304">
        <v>11.38768</v>
      </c>
      <c r="D304">
        <v>1.44937</v>
      </c>
      <c r="E304">
        <v>0.33</v>
      </c>
      <c r="F304">
        <v>0</v>
      </c>
      <c r="G304">
        <v>0</v>
      </c>
      <c r="H304">
        <v>0</v>
      </c>
      <c r="I304">
        <v>4.0345300000000002</v>
      </c>
      <c r="J304">
        <v>16.478290000000001</v>
      </c>
      <c r="K304">
        <v>1.42971</v>
      </c>
      <c r="L304">
        <v>0.33</v>
      </c>
      <c r="M304">
        <v>0</v>
      </c>
      <c r="N304">
        <v>0</v>
      </c>
      <c r="O304">
        <v>0</v>
      </c>
      <c r="P304">
        <v>2.3952</v>
      </c>
      <c r="Q304">
        <v>17.758939999999999</v>
      </c>
      <c r="R304">
        <v>1.6818299999999999</v>
      </c>
      <c r="S304">
        <v>0.33</v>
      </c>
      <c r="T304">
        <v>0</v>
      </c>
      <c r="U304">
        <v>0</v>
      </c>
      <c r="V304">
        <v>0</v>
      </c>
      <c r="W304">
        <v>2.0570900000000001</v>
      </c>
      <c r="X304">
        <v>17.393280000000001</v>
      </c>
      <c r="Y304">
        <v>1.85745</v>
      </c>
      <c r="Z304">
        <v>0.33</v>
      </c>
      <c r="AA304">
        <v>0</v>
      </c>
      <c r="AB304">
        <v>0</v>
      </c>
      <c r="AC304">
        <v>0</v>
      </c>
      <c r="AD304">
        <v>2.2097500000000001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BA304">
        <v>6759</v>
      </c>
      <c r="BB304" t="s">
        <v>501</v>
      </c>
      <c r="BC304">
        <v>726.4</v>
      </c>
      <c r="BD304">
        <v>687</v>
      </c>
    </row>
    <row r="305" spans="1:56" x14ac:dyDescent="0.25">
      <c r="A305">
        <v>6741</v>
      </c>
      <c r="B305" t="s">
        <v>294</v>
      </c>
      <c r="C305">
        <v>10.91076</v>
      </c>
      <c r="D305">
        <v>0.84416000000000002</v>
      </c>
      <c r="E305">
        <v>0.33</v>
      </c>
      <c r="F305">
        <v>0</v>
      </c>
      <c r="G305">
        <v>0</v>
      </c>
      <c r="H305">
        <v>0</v>
      </c>
      <c r="I305">
        <v>0</v>
      </c>
      <c r="J305">
        <v>10.34257</v>
      </c>
      <c r="K305">
        <v>0.82135999999999998</v>
      </c>
      <c r="L305">
        <v>0.33</v>
      </c>
      <c r="M305">
        <v>0</v>
      </c>
      <c r="N305">
        <v>0</v>
      </c>
      <c r="O305">
        <v>0</v>
      </c>
      <c r="P305">
        <v>0</v>
      </c>
      <c r="Q305">
        <v>9.6631</v>
      </c>
      <c r="R305">
        <v>0.55766000000000004</v>
      </c>
      <c r="S305">
        <v>0.33</v>
      </c>
      <c r="T305">
        <v>0</v>
      </c>
      <c r="U305">
        <v>0</v>
      </c>
      <c r="V305">
        <v>0</v>
      </c>
      <c r="W305">
        <v>0</v>
      </c>
      <c r="X305">
        <v>9.1554699999999993</v>
      </c>
      <c r="Y305">
        <v>0.58413999999999999</v>
      </c>
      <c r="Z305">
        <v>0.33</v>
      </c>
      <c r="AA305">
        <v>0</v>
      </c>
      <c r="AB305">
        <v>0</v>
      </c>
      <c r="AC305">
        <v>0</v>
      </c>
      <c r="AD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BA305">
        <v>6762</v>
      </c>
      <c r="BB305" t="s">
        <v>502</v>
      </c>
      <c r="BC305">
        <v>713.3</v>
      </c>
      <c r="BD305">
        <v>717.4</v>
      </c>
    </row>
    <row r="306" spans="1:56" x14ac:dyDescent="0.25">
      <c r="A306">
        <v>6759</v>
      </c>
      <c r="B306" t="s">
        <v>501</v>
      </c>
      <c r="C306">
        <v>13.616580000000001</v>
      </c>
      <c r="D306">
        <v>1.3334699999999999</v>
      </c>
      <c r="E306">
        <v>0</v>
      </c>
      <c r="F306">
        <v>0.67</v>
      </c>
      <c r="G306">
        <v>0</v>
      </c>
      <c r="H306">
        <v>0</v>
      </c>
      <c r="I306">
        <v>0</v>
      </c>
      <c r="J306">
        <v>12.89944</v>
      </c>
      <c r="K306">
        <v>1.57948</v>
      </c>
      <c r="L306">
        <v>0.33</v>
      </c>
      <c r="M306">
        <v>0.67</v>
      </c>
      <c r="N306">
        <v>0</v>
      </c>
      <c r="O306">
        <v>0</v>
      </c>
      <c r="P306">
        <v>0</v>
      </c>
      <c r="Q306">
        <v>13.884119999999999</v>
      </c>
      <c r="R306">
        <v>0.72753999999999996</v>
      </c>
      <c r="S306">
        <v>0.33</v>
      </c>
      <c r="T306">
        <v>0.67</v>
      </c>
      <c r="U306">
        <v>0</v>
      </c>
      <c r="V306">
        <v>0</v>
      </c>
      <c r="W306">
        <v>1.0000000000000001E-5</v>
      </c>
      <c r="X306">
        <v>13.560460000000001</v>
      </c>
      <c r="Y306">
        <v>0.74619000000000002</v>
      </c>
      <c r="Z306">
        <v>0.33</v>
      </c>
      <c r="AA306">
        <v>0.67</v>
      </c>
      <c r="AB306">
        <v>0</v>
      </c>
      <c r="AC306">
        <v>0</v>
      </c>
      <c r="AD306">
        <v>0</v>
      </c>
      <c r="AF306">
        <v>7.0000000000000007E-2</v>
      </c>
      <c r="AG306">
        <v>189871</v>
      </c>
      <c r="AH306">
        <v>0</v>
      </c>
      <c r="AI306">
        <v>0</v>
      </c>
      <c r="AJ306">
        <v>0</v>
      </c>
      <c r="AK306">
        <v>0</v>
      </c>
      <c r="AL306">
        <v>7.0000000000000007E-2</v>
      </c>
      <c r="AM306">
        <v>184958</v>
      </c>
      <c r="AN306">
        <v>0</v>
      </c>
      <c r="AO306">
        <v>0</v>
      </c>
      <c r="AP306">
        <v>0</v>
      </c>
      <c r="AQ306">
        <v>0</v>
      </c>
      <c r="AR306">
        <v>7.0000000000000007E-2</v>
      </c>
      <c r="AS306">
        <v>192573</v>
      </c>
      <c r="AT306">
        <v>0</v>
      </c>
      <c r="AU306">
        <v>0</v>
      </c>
      <c r="AV306">
        <v>0</v>
      </c>
      <c r="AW306">
        <v>0</v>
      </c>
      <c r="BA306">
        <v>6768</v>
      </c>
      <c r="BB306" t="s">
        <v>503</v>
      </c>
      <c r="BC306">
        <v>1767.5</v>
      </c>
      <c r="BD306">
        <v>1784.6</v>
      </c>
    </row>
    <row r="307" spans="1:56" x14ac:dyDescent="0.25">
      <c r="A307">
        <v>6762</v>
      </c>
      <c r="B307" t="s">
        <v>502</v>
      </c>
      <c r="C307">
        <v>11.76329</v>
      </c>
      <c r="D307">
        <v>0.67618</v>
      </c>
      <c r="E307">
        <v>0.33</v>
      </c>
      <c r="F307">
        <v>0.98262000000000005</v>
      </c>
      <c r="G307">
        <v>0</v>
      </c>
      <c r="H307">
        <v>0</v>
      </c>
      <c r="I307">
        <v>0</v>
      </c>
      <c r="J307">
        <v>11.8847</v>
      </c>
      <c r="K307">
        <v>0.70447000000000004</v>
      </c>
      <c r="L307">
        <v>0.31930999999999998</v>
      </c>
      <c r="M307">
        <v>1.0249999999999999</v>
      </c>
      <c r="N307">
        <v>0</v>
      </c>
      <c r="O307">
        <v>0</v>
      </c>
      <c r="P307">
        <v>0</v>
      </c>
      <c r="Q307">
        <v>11.93069</v>
      </c>
      <c r="R307">
        <v>0.71902999999999995</v>
      </c>
      <c r="S307">
        <v>0.33</v>
      </c>
      <c r="T307">
        <v>0</v>
      </c>
      <c r="U307">
        <v>0</v>
      </c>
      <c r="V307">
        <v>0</v>
      </c>
      <c r="W307">
        <v>1</v>
      </c>
      <c r="X307">
        <v>11.73715</v>
      </c>
      <c r="Y307">
        <v>0.77037999999999995</v>
      </c>
      <c r="Z307">
        <v>0.33</v>
      </c>
      <c r="AA307">
        <v>0.67</v>
      </c>
      <c r="AB307">
        <v>0</v>
      </c>
      <c r="AC307">
        <v>0</v>
      </c>
      <c r="AD307">
        <v>1</v>
      </c>
      <c r="AF307">
        <v>0.1</v>
      </c>
      <c r="AG307">
        <v>288812</v>
      </c>
      <c r="AH307">
        <v>0</v>
      </c>
      <c r="AI307">
        <v>0</v>
      </c>
      <c r="AJ307">
        <v>0.02</v>
      </c>
      <c r="AK307">
        <v>57762</v>
      </c>
      <c r="AL307">
        <v>0.11</v>
      </c>
      <c r="AM307">
        <v>299909</v>
      </c>
      <c r="AN307">
        <v>0</v>
      </c>
      <c r="AO307">
        <v>0</v>
      </c>
      <c r="AP307">
        <v>0</v>
      </c>
      <c r="AQ307">
        <v>0</v>
      </c>
      <c r="AR307">
        <v>0.1</v>
      </c>
      <c r="AS307">
        <v>274651</v>
      </c>
      <c r="AT307">
        <v>0</v>
      </c>
      <c r="AU307">
        <v>0</v>
      </c>
      <c r="AV307">
        <v>0</v>
      </c>
      <c r="AW307">
        <v>0</v>
      </c>
      <c r="BA307">
        <v>6795</v>
      </c>
      <c r="BB307" t="s">
        <v>504</v>
      </c>
      <c r="BC307">
        <v>10803.7</v>
      </c>
      <c r="BD307">
        <v>10992.3</v>
      </c>
    </row>
    <row r="308" spans="1:56" x14ac:dyDescent="0.25">
      <c r="A308">
        <v>6768</v>
      </c>
      <c r="B308" t="s">
        <v>503</v>
      </c>
      <c r="C308">
        <v>11.578609999999999</v>
      </c>
      <c r="D308">
        <v>1.29437</v>
      </c>
      <c r="E308">
        <v>0.33</v>
      </c>
      <c r="F308">
        <v>1</v>
      </c>
      <c r="G308">
        <v>0</v>
      </c>
      <c r="H308">
        <v>0</v>
      </c>
      <c r="I308">
        <v>0.40262999999999999</v>
      </c>
      <c r="J308">
        <v>10.35385</v>
      </c>
      <c r="K308">
        <v>2.9621599999999999</v>
      </c>
      <c r="L308">
        <v>0.33</v>
      </c>
      <c r="M308">
        <v>1</v>
      </c>
      <c r="N308">
        <v>0</v>
      </c>
      <c r="O308">
        <v>0</v>
      </c>
      <c r="P308">
        <v>0</v>
      </c>
      <c r="Q308">
        <v>13.248060000000001</v>
      </c>
      <c r="R308">
        <v>1.1613</v>
      </c>
      <c r="S308">
        <v>0.33</v>
      </c>
      <c r="T308">
        <v>1</v>
      </c>
      <c r="U308">
        <v>0</v>
      </c>
      <c r="V308">
        <v>0</v>
      </c>
      <c r="W308">
        <v>0</v>
      </c>
      <c r="X308">
        <v>14.55416</v>
      </c>
      <c r="Y308">
        <v>0.88495000000000001</v>
      </c>
      <c r="Z308">
        <v>0.32454</v>
      </c>
      <c r="AA308">
        <v>1</v>
      </c>
      <c r="AB308">
        <v>0</v>
      </c>
      <c r="AC308">
        <v>0</v>
      </c>
      <c r="AD308">
        <v>0</v>
      </c>
      <c r="AF308">
        <v>0.09</v>
      </c>
      <c r="AG308">
        <v>645497</v>
      </c>
      <c r="AH308">
        <v>0</v>
      </c>
      <c r="AI308">
        <v>0</v>
      </c>
      <c r="AJ308">
        <v>0</v>
      </c>
      <c r="AK308">
        <v>0</v>
      </c>
      <c r="AL308">
        <v>0.09</v>
      </c>
      <c r="AM308">
        <v>626479</v>
      </c>
      <c r="AN308">
        <v>0</v>
      </c>
      <c r="AO308">
        <v>0</v>
      </c>
      <c r="AP308">
        <v>0</v>
      </c>
      <c r="AQ308">
        <v>0</v>
      </c>
      <c r="AR308">
        <v>0.09</v>
      </c>
      <c r="AS308">
        <v>603476</v>
      </c>
      <c r="AT308">
        <v>0</v>
      </c>
      <c r="AU308">
        <v>0</v>
      </c>
      <c r="AV308">
        <v>0</v>
      </c>
      <c r="AW308">
        <v>0</v>
      </c>
      <c r="BA308">
        <v>6822</v>
      </c>
      <c r="BB308" t="s">
        <v>505</v>
      </c>
      <c r="BC308">
        <v>7721.3</v>
      </c>
      <c r="BD308">
        <v>8288.6</v>
      </c>
    </row>
    <row r="309" spans="1:56" x14ac:dyDescent="0.25">
      <c r="A309">
        <v>6795</v>
      </c>
      <c r="B309" t="s">
        <v>504</v>
      </c>
      <c r="C309">
        <v>13.82427</v>
      </c>
      <c r="D309">
        <v>1.15099</v>
      </c>
      <c r="E309">
        <v>0.33</v>
      </c>
      <c r="F309">
        <v>0.67</v>
      </c>
      <c r="G309">
        <v>0</v>
      </c>
      <c r="H309">
        <v>0</v>
      </c>
      <c r="I309">
        <v>0</v>
      </c>
      <c r="J309">
        <v>13.53871</v>
      </c>
      <c r="K309">
        <v>1.18947</v>
      </c>
      <c r="L309">
        <v>0.33</v>
      </c>
      <c r="M309">
        <v>0.67</v>
      </c>
      <c r="N309">
        <v>0</v>
      </c>
      <c r="O309">
        <v>0</v>
      </c>
      <c r="P309">
        <v>0</v>
      </c>
      <c r="Q309">
        <v>13.733980000000001</v>
      </c>
      <c r="R309">
        <v>1.06867</v>
      </c>
      <c r="S309">
        <v>0.33</v>
      </c>
      <c r="T309">
        <v>0.67</v>
      </c>
      <c r="U309">
        <v>0</v>
      </c>
      <c r="V309">
        <v>0</v>
      </c>
      <c r="W309">
        <v>0</v>
      </c>
      <c r="X309">
        <v>14.4648</v>
      </c>
      <c r="Y309">
        <v>0.81660999999999995</v>
      </c>
      <c r="Z309">
        <v>0.33</v>
      </c>
      <c r="AA309">
        <v>0.67</v>
      </c>
      <c r="AB309">
        <v>0</v>
      </c>
      <c r="AC309">
        <v>0</v>
      </c>
      <c r="AD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BA309">
        <v>6840</v>
      </c>
      <c r="BB309" t="s">
        <v>506</v>
      </c>
      <c r="BC309">
        <v>1968.9</v>
      </c>
      <c r="BD309">
        <v>1984.3</v>
      </c>
    </row>
    <row r="310" spans="1:56" x14ac:dyDescent="0.25">
      <c r="A310">
        <v>6822</v>
      </c>
      <c r="B310" t="s">
        <v>505</v>
      </c>
      <c r="C310">
        <v>11.77148</v>
      </c>
      <c r="D310">
        <v>0</v>
      </c>
      <c r="E310">
        <v>0.33</v>
      </c>
      <c r="F310">
        <v>1.34</v>
      </c>
      <c r="G310">
        <v>0</v>
      </c>
      <c r="H310">
        <v>0</v>
      </c>
      <c r="I310">
        <v>3.13279</v>
      </c>
      <c r="J310">
        <v>10.4596</v>
      </c>
      <c r="K310">
        <v>0.39709</v>
      </c>
      <c r="L310">
        <v>0.33</v>
      </c>
      <c r="M310">
        <v>1.34</v>
      </c>
      <c r="N310">
        <v>0</v>
      </c>
      <c r="O310">
        <v>0</v>
      </c>
      <c r="P310">
        <v>4.05</v>
      </c>
      <c r="Q310">
        <v>11.2377</v>
      </c>
      <c r="R310">
        <v>0.65312999999999999</v>
      </c>
      <c r="S310">
        <v>0.33</v>
      </c>
      <c r="T310">
        <v>1.34</v>
      </c>
      <c r="U310">
        <v>0</v>
      </c>
      <c r="V310">
        <v>0</v>
      </c>
      <c r="W310">
        <v>4.05</v>
      </c>
      <c r="X310">
        <v>12.43205</v>
      </c>
      <c r="Y310">
        <v>0.45922000000000002</v>
      </c>
      <c r="Z310">
        <v>0.33</v>
      </c>
      <c r="AA310">
        <v>1.34</v>
      </c>
      <c r="AB310">
        <v>0</v>
      </c>
      <c r="AC310">
        <v>0</v>
      </c>
      <c r="AD310">
        <v>3.2416499999999999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BA310">
        <v>6854</v>
      </c>
      <c r="BB310" t="s">
        <v>507</v>
      </c>
      <c r="BC310">
        <v>558.9</v>
      </c>
      <c r="BD310">
        <v>534.9</v>
      </c>
    </row>
    <row r="311" spans="1:56" x14ac:dyDescent="0.25">
      <c r="A311">
        <v>6840</v>
      </c>
      <c r="B311" t="s">
        <v>506</v>
      </c>
      <c r="C311">
        <v>12.676880000000001</v>
      </c>
      <c r="D311">
        <v>0.49587999999999999</v>
      </c>
      <c r="E311">
        <v>0.33</v>
      </c>
      <c r="F311">
        <v>0</v>
      </c>
      <c r="G311">
        <v>0</v>
      </c>
      <c r="H311">
        <v>0</v>
      </c>
      <c r="I311">
        <v>2.28023</v>
      </c>
      <c r="J311">
        <v>12.326700000000001</v>
      </c>
      <c r="K311">
        <v>0.45972000000000002</v>
      </c>
      <c r="L311">
        <v>0.33</v>
      </c>
      <c r="M311">
        <v>0</v>
      </c>
      <c r="N311">
        <v>0</v>
      </c>
      <c r="O311">
        <v>0</v>
      </c>
      <c r="P311">
        <v>2.7</v>
      </c>
      <c r="Q311">
        <v>11.33282</v>
      </c>
      <c r="R311">
        <v>0.49560999999999999</v>
      </c>
      <c r="S311">
        <v>0.33</v>
      </c>
      <c r="T311">
        <v>0</v>
      </c>
      <c r="U311">
        <v>0</v>
      </c>
      <c r="V311">
        <v>0</v>
      </c>
      <c r="W311">
        <v>1.8991899999999999</v>
      </c>
      <c r="X311">
        <v>11.631130000000001</v>
      </c>
      <c r="Y311">
        <v>0.50480000000000003</v>
      </c>
      <c r="Z311">
        <v>0.33</v>
      </c>
      <c r="AA311">
        <v>0</v>
      </c>
      <c r="AB311">
        <v>0</v>
      </c>
      <c r="AC311">
        <v>0</v>
      </c>
      <c r="AD311">
        <v>1.9846200000000001</v>
      </c>
      <c r="AF311">
        <v>0.06</v>
      </c>
      <c r="AG311">
        <v>725599</v>
      </c>
      <c r="AH311">
        <v>0</v>
      </c>
      <c r="AI311">
        <v>0</v>
      </c>
      <c r="AJ311">
        <v>0</v>
      </c>
      <c r="AK311">
        <v>0</v>
      </c>
      <c r="AL311">
        <v>0.06</v>
      </c>
      <c r="AM311">
        <v>703588</v>
      </c>
      <c r="AN311">
        <v>0</v>
      </c>
      <c r="AO311">
        <v>0</v>
      </c>
      <c r="AP311">
        <v>0</v>
      </c>
      <c r="AQ311">
        <v>0</v>
      </c>
      <c r="AR311">
        <v>0.06</v>
      </c>
      <c r="AS311">
        <v>665193</v>
      </c>
      <c r="AT311">
        <v>0</v>
      </c>
      <c r="AU311">
        <v>0</v>
      </c>
      <c r="AV311">
        <v>0</v>
      </c>
      <c r="AW311">
        <v>0</v>
      </c>
      <c r="BA311">
        <v>6867</v>
      </c>
      <c r="BB311" t="s">
        <v>508</v>
      </c>
      <c r="BC311">
        <v>1572.6</v>
      </c>
      <c r="BD311">
        <v>1549.4</v>
      </c>
    </row>
    <row r="312" spans="1:56" x14ac:dyDescent="0.25">
      <c r="A312">
        <v>6854</v>
      </c>
      <c r="B312" t="s">
        <v>507</v>
      </c>
      <c r="C312">
        <v>10.668229999999999</v>
      </c>
      <c r="D312">
        <v>0.93345</v>
      </c>
      <c r="E312">
        <v>0.33</v>
      </c>
      <c r="F312">
        <v>0</v>
      </c>
      <c r="G312">
        <v>0</v>
      </c>
      <c r="H312">
        <v>0</v>
      </c>
      <c r="I312">
        <v>0.13174</v>
      </c>
      <c r="J312">
        <v>9.5874299999999995</v>
      </c>
      <c r="K312">
        <v>2.3762500000000002</v>
      </c>
      <c r="L312">
        <v>0.33</v>
      </c>
      <c r="M312">
        <v>0</v>
      </c>
      <c r="N312">
        <v>0</v>
      </c>
      <c r="O312">
        <v>0</v>
      </c>
      <c r="P312">
        <v>2.3572899999999999</v>
      </c>
      <c r="Q312">
        <v>10.99263</v>
      </c>
      <c r="R312">
        <v>0.84284000000000003</v>
      </c>
      <c r="S312">
        <v>0.33</v>
      </c>
      <c r="T312">
        <v>0</v>
      </c>
      <c r="U312">
        <v>0</v>
      </c>
      <c r="V312">
        <v>0</v>
      </c>
      <c r="W312">
        <v>2.7</v>
      </c>
      <c r="X312">
        <v>13.359</v>
      </c>
      <c r="Y312">
        <v>0.76697000000000004</v>
      </c>
      <c r="Z312">
        <v>0.33</v>
      </c>
      <c r="AA312">
        <v>0</v>
      </c>
      <c r="AB312">
        <v>0</v>
      </c>
      <c r="AC312">
        <v>0</v>
      </c>
      <c r="AD312">
        <v>1.77565</v>
      </c>
      <c r="AF312">
        <v>0.08</v>
      </c>
      <c r="AG312">
        <v>196952</v>
      </c>
      <c r="AH312">
        <v>0</v>
      </c>
      <c r="AI312">
        <v>0</v>
      </c>
      <c r="AJ312">
        <v>0</v>
      </c>
      <c r="AK312">
        <v>0</v>
      </c>
      <c r="AL312">
        <v>0.08</v>
      </c>
      <c r="AM312">
        <v>175009</v>
      </c>
      <c r="AN312">
        <v>0</v>
      </c>
      <c r="AO312">
        <v>0</v>
      </c>
      <c r="AP312">
        <v>0</v>
      </c>
      <c r="AQ312">
        <v>0</v>
      </c>
      <c r="AR312">
        <v>0.08</v>
      </c>
      <c r="AS312">
        <v>168119</v>
      </c>
      <c r="AT312">
        <v>0</v>
      </c>
      <c r="AU312">
        <v>0</v>
      </c>
      <c r="AV312">
        <v>0</v>
      </c>
      <c r="AW312">
        <v>0</v>
      </c>
      <c r="BA312">
        <v>6921</v>
      </c>
      <c r="BB312" t="s">
        <v>509</v>
      </c>
      <c r="BC312">
        <v>312</v>
      </c>
      <c r="BD312">
        <v>325</v>
      </c>
    </row>
    <row r="313" spans="1:56" x14ac:dyDescent="0.25">
      <c r="A313">
        <v>6867</v>
      </c>
      <c r="B313" t="s">
        <v>508</v>
      </c>
      <c r="C313">
        <v>12.92098</v>
      </c>
      <c r="D313">
        <v>0.54903999999999997</v>
      </c>
      <c r="E313">
        <v>0.33</v>
      </c>
      <c r="F313">
        <v>0.67500000000000004</v>
      </c>
      <c r="G313">
        <v>0</v>
      </c>
      <c r="H313">
        <v>0</v>
      </c>
      <c r="I313">
        <v>0</v>
      </c>
      <c r="J313">
        <v>12.52032</v>
      </c>
      <c r="K313">
        <v>0.79479</v>
      </c>
      <c r="L313">
        <v>0.33</v>
      </c>
      <c r="M313">
        <v>0.67500000000000004</v>
      </c>
      <c r="N313">
        <v>0</v>
      </c>
      <c r="O313">
        <v>0</v>
      </c>
      <c r="P313">
        <v>0</v>
      </c>
      <c r="Q313">
        <v>12.578519999999999</v>
      </c>
      <c r="R313">
        <v>0.75373000000000001</v>
      </c>
      <c r="S313">
        <v>0.33</v>
      </c>
      <c r="T313">
        <v>0.67500000000000004</v>
      </c>
      <c r="U313">
        <v>0</v>
      </c>
      <c r="V313">
        <v>0</v>
      </c>
      <c r="W313">
        <v>0</v>
      </c>
      <c r="X313">
        <v>12.52943</v>
      </c>
      <c r="Y313">
        <v>0.77661000000000002</v>
      </c>
      <c r="Z313">
        <v>0.33</v>
      </c>
      <c r="AA313">
        <v>0.67500000000000004</v>
      </c>
      <c r="AB313">
        <v>0</v>
      </c>
      <c r="AC313">
        <v>0</v>
      </c>
      <c r="AD313">
        <v>0</v>
      </c>
      <c r="AF313">
        <v>0.05</v>
      </c>
      <c r="AG313">
        <v>444847</v>
      </c>
      <c r="AH313">
        <v>0</v>
      </c>
      <c r="AI313">
        <v>0</v>
      </c>
      <c r="AJ313">
        <v>0</v>
      </c>
      <c r="AK313">
        <v>0</v>
      </c>
      <c r="AL313">
        <v>0.05</v>
      </c>
      <c r="AM313">
        <v>398664</v>
      </c>
      <c r="AN313">
        <v>0</v>
      </c>
      <c r="AO313">
        <v>0</v>
      </c>
      <c r="AP313">
        <v>0</v>
      </c>
      <c r="AQ313">
        <v>0</v>
      </c>
      <c r="AR313">
        <v>0.05</v>
      </c>
      <c r="AS313">
        <v>408155</v>
      </c>
      <c r="AT313">
        <v>0</v>
      </c>
      <c r="AU313">
        <v>0</v>
      </c>
      <c r="AV313">
        <v>0</v>
      </c>
      <c r="AW313">
        <v>0</v>
      </c>
      <c r="BA313">
        <v>6930</v>
      </c>
      <c r="BB313" t="s">
        <v>510</v>
      </c>
      <c r="BC313">
        <v>814.6</v>
      </c>
      <c r="BD313">
        <v>813.3</v>
      </c>
    </row>
    <row r="314" spans="1:56" x14ac:dyDescent="0.25">
      <c r="A314">
        <v>6921</v>
      </c>
      <c r="B314" t="s">
        <v>509</v>
      </c>
      <c r="C314">
        <v>8.3591300000000004</v>
      </c>
      <c r="D314">
        <v>0.44705</v>
      </c>
      <c r="E314">
        <v>0.33</v>
      </c>
      <c r="F314">
        <v>1.34</v>
      </c>
      <c r="G314">
        <v>0.13500000000000001</v>
      </c>
      <c r="H314">
        <v>0</v>
      </c>
      <c r="I314">
        <v>0</v>
      </c>
      <c r="J314">
        <v>8.8287600000000008</v>
      </c>
      <c r="K314">
        <v>0</v>
      </c>
      <c r="L314">
        <v>0.33</v>
      </c>
      <c r="M314">
        <v>1.34</v>
      </c>
      <c r="N314">
        <v>0.13500000000000001</v>
      </c>
      <c r="O314">
        <v>0</v>
      </c>
      <c r="P314">
        <v>0</v>
      </c>
      <c r="Q314">
        <v>8.7186900000000005</v>
      </c>
      <c r="R314">
        <v>0</v>
      </c>
      <c r="S314">
        <v>0.33</v>
      </c>
      <c r="T314">
        <v>1.34</v>
      </c>
      <c r="U314">
        <v>0.13500000000000001</v>
      </c>
      <c r="V314">
        <v>0</v>
      </c>
      <c r="W314">
        <v>0</v>
      </c>
      <c r="X314">
        <v>9.6104599999999998</v>
      </c>
      <c r="Y314">
        <v>1.6957500000000001</v>
      </c>
      <c r="Z314">
        <v>0.33</v>
      </c>
      <c r="AA314">
        <v>0.67</v>
      </c>
      <c r="AB314">
        <v>0</v>
      </c>
      <c r="AC314">
        <v>0</v>
      </c>
      <c r="AD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BA314">
        <v>6937</v>
      </c>
      <c r="BB314" t="s">
        <v>511</v>
      </c>
      <c r="BC314">
        <v>483.9</v>
      </c>
      <c r="BD314">
        <v>481.1</v>
      </c>
    </row>
    <row r="315" spans="1:56" x14ac:dyDescent="0.25">
      <c r="A315">
        <v>6930</v>
      </c>
      <c r="B315" t="s">
        <v>510</v>
      </c>
      <c r="C315">
        <v>11.08095</v>
      </c>
      <c r="D315">
        <v>0.87204000000000004</v>
      </c>
      <c r="E315">
        <v>0.33</v>
      </c>
      <c r="F315">
        <v>0.62731000000000003</v>
      </c>
      <c r="G315">
        <v>0</v>
      </c>
      <c r="H315">
        <v>0</v>
      </c>
      <c r="I315">
        <v>1.1952100000000001</v>
      </c>
      <c r="J315">
        <v>10.978529999999999</v>
      </c>
      <c r="K315">
        <v>0.76756999999999997</v>
      </c>
      <c r="L315">
        <v>0.33</v>
      </c>
      <c r="M315">
        <v>0.68894</v>
      </c>
      <c r="N315">
        <v>0</v>
      </c>
      <c r="O315">
        <v>0</v>
      </c>
      <c r="P315">
        <v>1.2110700000000001</v>
      </c>
      <c r="Q315">
        <v>11.027340000000001</v>
      </c>
      <c r="R315">
        <v>0.64615</v>
      </c>
      <c r="S315">
        <v>0.33</v>
      </c>
      <c r="T315">
        <v>0.67025999999999997</v>
      </c>
      <c r="U315">
        <v>0</v>
      </c>
      <c r="V315">
        <v>0</v>
      </c>
      <c r="W315">
        <v>1.2946599999999999</v>
      </c>
      <c r="X315">
        <v>11.076919999999999</v>
      </c>
      <c r="Y315">
        <v>0.75439999999999996</v>
      </c>
      <c r="Z315">
        <v>0.33</v>
      </c>
      <c r="AA315">
        <v>0.45408999999999999</v>
      </c>
      <c r="AB315">
        <v>0</v>
      </c>
      <c r="AC315">
        <v>0</v>
      </c>
      <c r="AD315">
        <v>1.4400299999999999</v>
      </c>
      <c r="AF315">
        <v>0.05</v>
      </c>
      <c r="AG315">
        <v>204501</v>
      </c>
      <c r="AH315">
        <v>0</v>
      </c>
      <c r="AI315">
        <v>0</v>
      </c>
      <c r="AJ315">
        <v>0.05</v>
      </c>
      <c r="AK315">
        <v>204501</v>
      </c>
      <c r="AL315">
        <v>0.05</v>
      </c>
      <c r="AM315">
        <v>194026</v>
      </c>
      <c r="AN315">
        <v>0</v>
      </c>
      <c r="AO315">
        <v>0</v>
      </c>
      <c r="AP315">
        <v>0.05</v>
      </c>
      <c r="AQ315">
        <v>194026</v>
      </c>
      <c r="AR315">
        <v>0.06</v>
      </c>
      <c r="AS315">
        <v>246238</v>
      </c>
      <c r="AT315">
        <v>0</v>
      </c>
      <c r="AU315">
        <v>0</v>
      </c>
      <c r="AV315">
        <v>0.06</v>
      </c>
      <c r="AW315">
        <v>246238</v>
      </c>
      <c r="BA315">
        <v>6943</v>
      </c>
      <c r="BB315" t="s">
        <v>512</v>
      </c>
      <c r="BC315">
        <v>296.2</v>
      </c>
      <c r="BD315">
        <v>278.89999999999998</v>
      </c>
    </row>
    <row r="316" spans="1:56" x14ac:dyDescent="0.25">
      <c r="A316">
        <v>6937</v>
      </c>
      <c r="B316" t="s">
        <v>511</v>
      </c>
      <c r="C316">
        <v>14.886419999999999</v>
      </c>
      <c r="D316">
        <v>1.5812200000000001</v>
      </c>
      <c r="E316">
        <v>0.33</v>
      </c>
      <c r="F316">
        <v>0.67</v>
      </c>
      <c r="G316">
        <v>0</v>
      </c>
      <c r="H316">
        <v>0</v>
      </c>
      <c r="I316">
        <v>1.3592200000000001</v>
      </c>
      <c r="J316">
        <v>15.81697</v>
      </c>
      <c r="K316">
        <v>1.5495399999999999</v>
      </c>
      <c r="L316">
        <v>0.33</v>
      </c>
      <c r="M316">
        <v>0.67</v>
      </c>
      <c r="N316">
        <v>0</v>
      </c>
      <c r="O316">
        <v>0</v>
      </c>
      <c r="P316">
        <v>2.4471099999999999</v>
      </c>
      <c r="Q316">
        <v>16.160969999999999</v>
      </c>
      <c r="R316">
        <v>1.8179000000000001</v>
      </c>
      <c r="S316">
        <v>0.33</v>
      </c>
      <c r="T316">
        <v>0.67</v>
      </c>
      <c r="U316">
        <v>0</v>
      </c>
      <c r="V316">
        <v>0</v>
      </c>
      <c r="W316">
        <v>2.5266899999999999</v>
      </c>
      <c r="X316">
        <v>16.338270000000001</v>
      </c>
      <c r="Y316">
        <v>2.11591</v>
      </c>
      <c r="Z316">
        <v>0.33</v>
      </c>
      <c r="AA316">
        <v>0.67</v>
      </c>
      <c r="AB316">
        <v>0</v>
      </c>
      <c r="AC316">
        <v>0</v>
      </c>
      <c r="AD316">
        <v>2.14011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BA316">
        <v>6264</v>
      </c>
      <c r="BB316" t="s">
        <v>513</v>
      </c>
      <c r="BC316">
        <v>931.3</v>
      </c>
      <c r="BD316">
        <v>931.9</v>
      </c>
    </row>
    <row r="317" spans="1:56" x14ac:dyDescent="0.25">
      <c r="A317">
        <v>6943</v>
      </c>
      <c r="B317" t="s">
        <v>512</v>
      </c>
      <c r="C317">
        <v>10.735279999999999</v>
      </c>
      <c r="D317">
        <v>0</v>
      </c>
      <c r="E317">
        <v>0.33</v>
      </c>
      <c r="F317">
        <v>0.54590000000000005</v>
      </c>
      <c r="G317">
        <v>0</v>
      </c>
      <c r="H317">
        <v>0</v>
      </c>
      <c r="I317">
        <v>3.9362200000000001</v>
      </c>
      <c r="J317">
        <v>9.8471399999999996</v>
      </c>
      <c r="K317">
        <v>0</v>
      </c>
      <c r="L317">
        <v>0.33</v>
      </c>
      <c r="M317">
        <v>0.60458999999999996</v>
      </c>
      <c r="N317">
        <v>0</v>
      </c>
      <c r="O317">
        <v>0</v>
      </c>
      <c r="P317">
        <v>3.78234</v>
      </c>
      <c r="Q317">
        <v>9.3061100000000003</v>
      </c>
      <c r="R317">
        <v>0</v>
      </c>
      <c r="S317">
        <v>0.33</v>
      </c>
      <c r="T317">
        <v>0.61726000000000003</v>
      </c>
      <c r="U317">
        <v>0</v>
      </c>
      <c r="V317">
        <v>0</v>
      </c>
      <c r="W317">
        <v>0</v>
      </c>
      <c r="X317">
        <v>9.7667099999999998</v>
      </c>
      <c r="Y317">
        <v>1.53898</v>
      </c>
      <c r="Z317">
        <v>0.33</v>
      </c>
      <c r="AA317">
        <v>0.61782000000000004</v>
      </c>
      <c r="AB317">
        <v>0</v>
      </c>
      <c r="AC317">
        <v>0</v>
      </c>
      <c r="AD317">
        <v>0</v>
      </c>
      <c r="AF317">
        <v>7.0000000000000007E-2</v>
      </c>
      <c r="AG317">
        <v>86347</v>
      </c>
      <c r="AH317">
        <v>0</v>
      </c>
      <c r="AI317">
        <v>0</v>
      </c>
      <c r="AJ317">
        <v>0.03</v>
      </c>
      <c r="AK317">
        <v>37006</v>
      </c>
      <c r="AL317">
        <v>7.0000000000000007E-2</v>
      </c>
      <c r="AM317">
        <v>80020</v>
      </c>
      <c r="AN317">
        <v>0</v>
      </c>
      <c r="AO317">
        <v>0</v>
      </c>
      <c r="AP317">
        <v>0.03</v>
      </c>
      <c r="AQ317">
        <v>34294</v>
      </c>
      <c r="AR317">
        <v>7.0000000000000007E-2</v>
      </c>
      <c r="AS317">
        <v>80396</v>
      </c>
      <c r="AT317">
        <v>0</v>
      </c>
      <c r="AU317">
        <v>0</v>
      </c>
      <c r="AV317">
        <v>0.03</v>
      </c>
      <c r="AW317">
        <v>34455</v>
      </c>
      <c r="BA317">
        <v>6950</v>
      </c>
      <c r="BB317" t="s">
        <v>514</v>
      </c>
      <c r="BC317">
        <v>1576.2</v>
      </c>
      <c r="BD317">
        <v>1545.4</v>
      </c>
    </row>
    <row r="318" spans="1:56" x14ac:dyDescent="0.25">
      <c r="A318">
        <v>6950</v>
      </c>
      <c r="B318" t="s">
        <v>514</v>
      </c>
      <c r="C318">
        <v>10.45139</v>
      </c>
      <c r="D318">
        <v>1.43604</v>
      </c>
      <c r="E318">
        <v>0.33</v>
      </c>
      <c r="F318">
        <v>0.67</v>
      </c>
      <c r="G318">
        <v>0</v>
      </c>
      <c r="H318">
        <v>0</v>
      </c>
      <c r="I318">
        <v>0</v>
      </c>
      <c r="J318">
        <v>10.9664</v>
      </c>
      <c r="K318">
        <v>1.39621</v>
      </c>
      <c r="L318">
        <v>0.33</v>
      </c>
      <c r="M318">
        <v>0.67</v>
      </c>
      <c r="N318">
        <v>0</v>
      </c>
      <c r="O318">
        <v>0</v>
      </c>
      <c r="P318">
        <v>0</v>
      </c>
      <c r="Q318">
        <v>12.38687</v>
      </c>
      <c r="R318">
        <v>1.0604</v>
      </c>
      <c r="S318">
        <v>0.33</v>
      </c>
      <c r="T318">
        <v>0.67</v>
      </c>
      <c r="U318">
        <v>0</v>
      </c>
      <c r="V318">
        <v>0</v>
      </c>
      <c r="W318">
        <v>0</v>
      </c>
      <c r="X318">
        <v>12.745050000000001</v>
      </c>
      <c r="Y318">
        <v>0.89812999999999998</v>
      </c>
      <c r="Z318">
        <v>0.33</v>
      </c>
      <c r="AA318">
        <v>0.67</v>
      </c>
      <c r="AB318">
        <v>0</v>
      </c>
      <c r="AC318">
        <v>0</v>
      </c>
      <c r="AD318">
        <v>0</v>
      </c>
      <c r="AF318">
        <v>0.05</v>
      </c>
      <c r="AG318">
        <v>380552</v>
      </c>
      <c r="AH318">
        <v>0</v>
      </c>
      <c r="AI318">
        <v>0</v>
      </c>
      <c r="AJ318">
        <v>0</v>
      </c>
      <c r="AK318">
        <v>0</v>
      </c>
      <c r="AL318">
        <v>0.05</v>
      </c>
      <c r="AM318">
        <v>357928</v>
      </c>
      <c r="AN318">
        <v>0</v>
      </c>
      <c r="AO318">
        <v>0</v>
      </c>
      <c r="AP318">
        <v>0</v>
      </c>
      <c r="AQ318">
        <v>0</v>
      </c>
      <c r="AR318">
        <v>0.04</v>
      </c>
      <c r="AS318">
        <v>284656</v>
      </c>
      <c r="AT318">
        <v>0</v>
      </c>
      <c r="AU318">
        <v>0</v>
      </c>
      <c r="AV318">
        <v>0</v>
      </c>
      <c r="AW318">
        <v>0</v>
      </c>
      <c r="BA318">
        <v>6957</v>
      </c>
      <c r="BB318" t="s">
        <v>515</v>
      </c>
      <c r="BC318">
        <v>9102.9</v>
      </c>
      <c r="BD318">
        <v>9054.4</v>
      </c>
    </row>
    <row r="319" spans="1:56" x14ac:dyDescent="0.25">
      <c r="A319">
        <v>6957</v>
      </c>
      <c r="B319" t="s">
        <v>515</v>
      </c>
      <c r="C319">
        <v>10.49836</v>
      </c>
      <c r="D319">
        <v>0.92544999999999999</v>
      </c>
      <c r="E319">
        <v>0.33</v>
      </c>
      <c r="F319">
        <v>1.3769100000000001</v>
      </c>
      <c r="G319">
        <v>0.13500000000000001</v>
      </c>
      <c r="H319">
        <v>0</v>
      </c>
      <c r="I319">
        <v>0</v>
      </c>
      <c r="J319">
        <v>9.4509399999999992</v>
      </c>
      <c r="K319">
        <v>1.99716</v>
      </c>
      <c r="L319">
        <v>0.33</v>
      </c>
      <c r="M319">
        <v>1.3514200000000001</v>
      </c>
      <c r="N319">
        <v>0.13500000000000001</v>
      </c>
      <c r="O319">
        <v>0</v>
      </c>
      <c r="P319">
        <v>0</v>
      </c>
      <c r="Q319">
        <v>10.80307</v>
      </c>
      <c r="R319">
        <v>0.66295999999999999</v>
      </c>
      <c r="S319">
        <v>0.33</v>
      </c>
      <c r="T319">
        <v>1.3708100000000001</v>
      </c>
      <c r="U319">
        <v>0.13500000000000001</v>
      </c>
      <c r="V319">
        <v>0</v>
      </c>
      <c r="W319">
        <v>0</v>
      </c>
      <c r="X319">
        <v>11.24696</v>
      </c>
      <c r="Y319">
        <v>0.79757999999999996</v>
      </c>
      <c r="Z319">
        <v>0.33</v>
      </c>
      <c r="AA319">
        <v>1.34</v>
      </c>
      <c r="AB319">
        <v>0.13500000000000001</v>
      </c>
      <c r="AC319">
        <v>0</v>
      </c>
      <c r="AD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BA319">
        <v>5922</v>
      </c>
      <c r="BB319" t="s">
        <v>516</v>
      </c>
      <c r="BC319">
        <v>709</v>
      </c>
      <c r="BD319">
        <v>680.1</v>
      </c>
    </row>
    <row r="320" spans="1:56" x14ac:dyDescent="0.25">
      <c r="A320">
        <v>6961</v>
      </c>
      <c r="B320" t="s">
        <v>524</v>
      </c>
      <c r="C320">
        <v>10.433260000000001</v>
      </c>
      <c r="D320">
        <v>0.87529000000000001</v>
      </c>
      <c r="E320">
        <v>0</v>
      </c>
      <c r="F320">
        <v>1</v>
      </c>
      <c r="G320">
        <v>0</v>
      </c>
      <c r="H320">
        <v>0</v>
      </c>
      <c r="I320">
        <v>0.74414999999999998</v>
      </c>
      <c r="J320">
        <v>10.65375</v>
      </c>
      <c r="K320">
        <v>0.87529000000000001</v>
      </c>
      <c r="L320">
        <v>0</v>
      </c>
      <c r="M320">
        <v>1</v>
      </c>
      <c r="N320">
        <v>0</v>
      </c>
      <c r="O320">
        <v>0</v>
      </c>
      <c r="P320">
        <v>0.61421999999999999</v>
      </c>
      <c r="Q320">
        <v>10.70983</v>
      </c>
      <c r="R320">
        <v>0.91844999999999999</v>
      </c>
      <c r="S320">
        <v>0</v>
      </c>
      <c r="T320">
        <v>1</v>
      </c>
      <c r="U320">
        <v>0</v>
      </c>
      <c r="V320">
        <v>0</v>
      </c>
      <c r="W320">
        <v>0.44356000000000001</v>
      </c>
      <c r="X320">
        <v>11.70843</v>
      </c>
      <c r="Y320">
        <v>0.98165000000000002</v>
      </c>
      <c r="Z320">
        <v>0.32996999999999999</v>
      </c>
      <c r="AA320">
        <v>0</v>
      </c>
      <c r="AB320">
        <v>0</v>
      </c>
      <c r="AC320">
        <v>0</v>
      </c>
      <c r="AD320">
        <v>0.47470000000000001</v>
      </c>
      <c r="AF320">
        <v>0.06</v>
      </c>
      <c r="AG320">
        <v>1066816</v>
      </c>
      <c r="AH320">
        <v>0</v>
      </c>
      <c r="AI320">
        <v>0</v>
      </c>
      <c r="AJ320">
        <v>0</v>
      </c>
      <c r="AK320">
        <v>0</v>
      </c>
      <c r="AL320">
        <v>0.06</v>
      </c>
      <c r="AM320">
        <v>967024</v>
      </c>
      <c r="AN320">
        <v>0</v>
      </c>
      <c r="AO320">
        <v>0</v>
      </c>
      <c r="AP320">
        <v>0</v>
      </c>
      <c r="AQ320">
        <v>0</v>
      </c>
      <c r="AR320">
        <v>0.06</v>
      </c>
      <c r="AS320">
        <v>928740</v>
      </c>
      <c r="AT320">
        <v>0</v>
      </c>
      <c r="AU320">
        <v>0</v>
      </c>
      <c r="AV320">
        <v>0</v>
      </c>
      <c r="AW320">
        <v>0</v>
      </c>
      <c r="BA320">
        <v>819</v>
      </c>
      <c r="BB320" t="s">
        <v>517</v>
      </c>
      <c r="BC320">
        <v>612.4</v>
      </c>
      <c r="BD320">
        <v>592.1</v>
      </c>
    </row>
    <row r="321" spans="1:56" x14ac:dyDescent="0.25">
      <c r="A321">
        <v>6969</v>
      </c>
      <c r="B321" t="s">
        <v>518</v>
      </c>
      <c r="C321">
        <v>9.8050700000000006</v>
      </c>
      <c r="D321">
        <v>0.96528000000000003</v>
      </c>
      <c r="E321">
        <v>0.33</v>
      </c>
      <c r="F321">
        <v>0</v>
      </c>
      <c r="G321">
        <v>0</v>
      </c>
      <c r="H321">
        <v>0</v>
      </c>
      <c r="I321">
        <v>0</v>
      </c>
      <c r="J321">
        <v>9.6191399999999998</v>
      </c>
      <c r="K321">
        <v>0.97792000000000001</v>
      </c>
      <c r="L321">
        <v>0.33</v>
      </c>
      <c r="M321">
        <v>0</v>
      </c>
      <c r="N321">
        <v>0</v>
      </c>
      <c r="O321">
        <v>0</v>
      </c>
      <c r="P321">
        <v>0</v>
      </c>
      <c r="Q321">
        <v>10.460419999999999</v>
      </c>
      <c r="R321">
        <v>0.76912000000000003</v>
      </c>
      <c r="S321">
        <v>0.33</v>
      </c>
      <c r="T321">
        <v>0</v>
      </c>
      <c r="U321">
        <v>0</v>
      </c>
      <c r="V321">
        <v>0</v>
      </c>
      <c r="W321">
        <v>1.9528000000000001</v>
      </c>
      <c r="X321">
        <v>13.18566</v>
      </c>
      <c r="Y321">
        <v>0.43548999999999999</v>
      </c>
      <c r="Z321">
        <v>0.33</v>
      </c>
      <c r="AA321">
        <v>0</v>
      </c>
      <c r="AB321">
        <v>0</v>
      </c>
      <c r="AC321">
        <v>0</v>
      </c>
      <c r="AD321">
        <v>2.2004100000000002</v>
      </c>
      <c r="AF321">
        <v>0.05</v>
      </c>
      <c r="AG321">
        <v>96521</v>
      </c>
      <c r="AH321">
        <v>0</v>
      </c>
      <c r="AI321">
        <v>0</v>
      </c>
      <c r="AJ321">
        <v>0</v>
      </c>
      <c r="AK321">
        <v>0</v>
      </c>
      <c r="AL321">
        <v>0.11</v>
      </c>
      <c r="AM321">
        <v>210161</v>
      </c>
      <c r="AN321">
        <v>0</v>
      </c>
      <c r="AO321">
        <v>0</v>
      </c>
      <c r="AP321">
        <v>0</v>
      </c>
      <c r="AQ321">
        <v>0</v>
      </c>
      <c r="AR321">
        <v>0.11</v>
      </c>
      <c r="AS321">
        <v>194723</v>
      </c>
      <c r="AT321">
        <v>0</v>
      </c>
      <c r="AU321">
        <v>0</v>
      </c>
      <c r="AV321">
        <v>0</v>
      </c>
      <c r="AW321">
        <v>0</v>
      </c>
      <c r="BA321">
        <v>6969</v>
      </c>
      <c r="BB321" t="s">
        <v>518</v>
      </c>
      <c r="BC321">
        <v>415</v>
      </c>
      <c r="BD321">
        <v>381.5</v>
      </c>
    </row>
    <row r="322" spans="1:56" x14ac:dyDescent="0.25">
      <c r="A322">
        <v>6975</v>
      </c>
      <c r="B322" t="s">
        <v>519</v>
      </c>
      <c r="C322">
        <v>14.286659999999999</v>
      </c>
      <c r="D322">
        <v>0.63944999999999996</v>
      </c>
      <c r="E322">
        <v>0.33</v>
      </c>
      <c r="F322">
        <v>2.1669999999999998E-2</v>
      </c>
      <c r="G322">
        <v>0</v>
      </c>
      <c r="H322">
        <v>0</v>
      </c>
      <c r="I322">
        <v>1.2835099999999999</v>
      </c>
      <c r="J322">
        <v>14.0191</v>
      </c>
      <c r="K322">
        <v>0.62502999999999997</v>
      </c>
      <c r="L322">
        <v>0.33</v>
      </c>
      <c r="M322">
        <v>0.12401</v>
      </c>
      <c r="N322">
        <v>0</v>
      </c>
      <c r="O322">
        <v>0</v>
      </c>
      <c r="P322">
        <v>1.31342</v>
      </c>
      <c r="Q322">
        <v>13.835150000000001</v>
      </c>
      <c r="R322">
        <v>0.73663000000000001</v>
      </c>
      <c r="S322">
        <v>0.33</v>
      </c>
      <c r="T322">
        <v>0.11067</v>
      </c>
      <c r="U322">
        <v>0</v>
      </c>
      <c r="V322">
        <v>0</v>
      </c>
      <c r="W322">
        <v>1.3717200000000001</v>
      </c>
      <c r="X322">
        <v>13.271089999999999</v>
      </c>
      <c r="Y322">
        <v>0.75449999999999995</v>
      </c>
      <c r="Z322">
        <v>0.33</v>
      </c>
      <c r="AA322">
        <v>0.10544000000000001</v>
      </c>
      <c r="AB322">
        <v>0</v>
      </c>
      <c r="AC322">
        <v>0</v>
      </c>
      <c r="AD322">
        <v>0.91042999999999996</v>
      </c>
      <c r="AF322">
        <v>0.1</v>
      </c>
      <c r="AG322">
        <v>450983</v>
      </c>
      <c r="AH322">
        <v>0</v>
      </c>
      <c r="AI322">
        <v>0</v>
      </c>
      <c r="AJ322">
        <v>7.0000000000000007E-2</v>
      </c>
      <c r="AK322">
        <v>315688</v>
      </c>
      <c r="AL322">
        <v>0.09</v>
      </c>
      <c r="AM322">
        <v>392081</v>
      </c>
      <c r="AN322">
        <v>0</v>
      </c>
      <c r="AO322">
        <v>0</v>
      </c>
      <c r="AP322">
        <v>7.0000000000000007E-2</v>
      </c>
      <c r="AQ322">
        <v>304952</v>
      </c>
      <c r="AR322">
        <v>0.09</v>
      </c>
      <c r="AS322">
        <v>384589</v>
      </c>
      <c r="AT322">
        <v>0</v>
      </c>
      <c r="AU322">
        <v>0</v>
      </c>
      <c r="AV322">
        <v>7.0000000000000007E-2</v>
      </c>
      <c r="AW322">
        <v>299124</v>
      </c>
      <c r="BA322">
        <v>6975</v>
      </c>
      <c r="BB322" t="s">
        <v>519</v>
      </c>
      <c r="BC322">
        <v>1199</v>
      </c>
      <c r="BD322">
        <v>1203.9000000000001</v>
      </c>
    </row>
    <row r="323" spans="1:56" x14ac:dyDescent="0.25">
      <c r="A323">
        <v>6983</v>
      </c>
      <c r="B323" t="s">
        <v>520</v>
      </c>
      <c r="C323">
        <v>8.8604099999999999</v>
      </c>
      <c r="D323">
        <v>0.66685000000000005</v>
      </c>
      <c r="E323">
        <v>0.33</v>
      </c>
      <c r="F323">
        <v>0</v>
      </c>
      <c r="G323">
        <v>0</v>
      </c>
      <c r="H323">
        <v>0</v>
      </c>
      <c r="I323">
        <v>2.12E-2</v>
      </c>
      <c r="J323">
        <v>8.4972200000000004</v>
      </c>
      <c r="K323">
        <v>0.79625999999999997</v>
      </c>
      <c r="L323">
        <v>0.33</v>
      </c>
      <c r="M323">
        <v>0</v>
      </c>
      <c r="N323">
        <v>0</v>
      </c>
      <c r="O323">
        <v>0</v>
      </c>
      <c r="P323">
        <v>1.04E-2</v>
      </c>
      <c r="Q323">
        <v>8.9276400000000002</v>
      </c>
      <c r="R323">
        <v>0.88148000000000004</v>
      </c>
      <c r="S323">
        <v>0.33</v>
      </c>
      <c r="T323">
        <v>0</v>
      </c>
      <c r="U323">
        <v>0</v>
      </c>
      <c r="V323">
        <v>0</v>
      </c>
      <c r="W323">
        <v>3.2699999999999999E-3</v>
      </c>
      <c r="X323">
        <v>9.6433800000000005</v>
      </c>
      <c r="Y323">
        <v>0.94498000000000004</v>
      </c>
      <c r="Z323">
        <v>0.33</v>
      </c>
      <c r="AA323">
        <v>0</v>
      </c>
      <c r="AB323">
        <v>0</v>
      </c>
      <c r="AC323">
        <v>0</v>
      </c>
      <c r="AD323">
        <v>4.0200000000000001E-3</v>
      </c>
      <c r="AF323">
        <v>0.1</v>
      </c>
      <c r="AG323">
        <v>417933</v>
      </c>
      <c r="AH323">
        <v>0</v>
      </c>
      <c r="AI323">
        <v>0</v>
      </c>
      <c r="AJ323">
        <v>0</v>
      </c>
      <c r="AK323">
        <v>0</v>
      </c>
      <c r="AL323">
        <v>0.1</v>
      </c>
      <c r="AM323">
        <v>358876</v>
      </c>
      <c r="AN323">
        <v>0</v>
      </c>
      <c r="AO323">
        <v>0</v>
      </c>
      <c r="AP323">
        <v>0</v>
      </c>
      <c r="AQ323">
        <v>0</v>
      </c>
      <c r="AR323">
        <v>0.1</v>
      </c>
      <c r="AS323">
        <v>316629</v>
      </c>
      <c r="AT323">
        <v>0</v>
      </c>
      <c r="AU323">
        <v>0</v>
      </c>
      <c r="AV323">
        <v>0</v>
      </c>
      <c r="AW323">
        <v>0</v>
      </c>
      <c r="BA323">
        <v>6983</v>
      </c>
      <c r="BB323" t="s">
        <v>520</v>
      </c>
      <c r="BC323">
        <v>859</v>
      </c>
      <c r="BD323">
        <v>888</v>
      </c>
    </row>
    <row r="324" spans="1:56" x14ac:dyDescent="0.25">
      <c r="A324">
        <v>6985</v>
      </c>
      <c r="B324" t="s">
        <v>521</v>
      </c>
      <c r="C324">
        <v>9.3638899999999996</v>
      </c>
      <c r="D324">
        <v>0.72607999999999995</v>
      </c>
      <c r="E324">
        <v>0.33</v>
      </c>
      <c r="F324">
        <v>0</v>
      </c>
      <c r="G324">
        <v>0</v>
      </c>
      <c r="H324">
        <v>0</v>
      </c>
      <c r="I324">
        <v>1.0639700000000001</v>
      </c>
      <c r="J324">
        <v>9.2961600000000004</v>
      </c>
      <c r="K324">
        <v>0.75707000000000002</v>
      </c>
      <c r="L324">
        <v>0.33</v>
      </c>
      <c r="M324">
        <v>0</v>
      </c>
      <c r="N324">
        <v>0</v>
      </c>
      <c r="O324">
        <v>0</v>
      </c>
      <c r="P324">
        <v>1.0178400000000001</v>
      </c>
      <c r="Q324">
        <v>9.4015599999999999</v>
      </c>
      <c r="R324">
        <v>0.75485000000000002</v>
      </c>
      <c r="S324">
        <v>0.33</v>
      </c>
      <c r="T324">
        <v>0</v>
      </c>
      <c r="U324">
        <v>0</v>
      </c>
      <c r="V324">
        <v>0</v>
      </c>
      <c r="W324">
        <v>0.81913000000000002</v>
      </c>
      <c r="X324">
        <v>10.427960000000001</v>
      </c>
      <c r="Y324">
        <v>0.5857</v>
      </c>
      <c r="Z324">
        <v>0.33</v>
      </c>
      <c r="AA324">
        <v>0</v>
      </c>
      <c r="AB324">
        <v>0</v>
      </c>
      <c r="AC324">
        <v>0</v>
      </c>
      <c r="AD324">
        <v>0.98863000000000001</v>
      </c>
      <c r="AF324">
        <v>0.09</v>
      </c>
      <c r="AG324">
        <v>345364</v>
      </c>
      <c r="AH324">
        <v>0</v>
      </c>
      <c r="AI324">
        <v>0</v>
      </c>
      <c r="AJ324">
        <v>0</v>
      </c>
      <c r="AK324">
        <v>0</v>
      </c>
      <c r="AL324">
        <v>0.09</v>
      </c>
      <c r="AM324">
        <v>339240</v>
      </c>
      <c r="AN324">
        <v>0</v>
      </c>
      <c r="AO324">
        <v>0</v>
      </c>
      <c r="AP324">
        <v>0</v>
      </c>
      <c r="AQ324">
        <v>0</v>
      </c>
      <c r="AR324">
        <v>0.09</v>
      </c>
      <c r="AS324">
        <v>320079</v>
      </c>
      <c r="AT324">
        <v>0</v>
      </c>
      <c r="AU324">
        <v>0</v>
      </c>
      <c r="AV324">
        <v>0</v>
      </c>
      <c r="AW324">
        <v>0</v>
      </c>
      <c r="BA324">
        <v>6985</v>
      </c>
      <c r="BB324" t="s">
        <v>521</v>
      </c>
      <c r="BC324">
        <v>858.7</v>
      </c>
      <c r="BD324">
        <v>863.5</v>
      </c>
    </row>
    <row r="325" spans="1:56" x14ac:dyDescent="0.25">
      <c r="A325">
        <v>6987</v>
      </c>
      <c r="B325" t="s">
        <v>522</v>
      </c>
      <c r="C325">
        <v>10.555260000000001</v>
      </c>
      <c r="D325">
        <v>2.15672</v>
      </c>
      <c r="E325">
        <v>0.33</v>
      </c>
      <c r="F325">
        <v>1.0285</v>
      </c>
      <c r="G325">
        <v>0</v>
      </c>
      <c r="H325">
        <v>0</v>
      </c>
      <c r="I325">
        <v>1.6984999999999999</v>
      </c>
      <c r="J325">
        <v>11.96842</v>
      </c>
      <c r="K325">
        <v>1.18096</v>
      </c>
      <c r="L325">
        <v>0.33</v>
      </c>
      <c r="M325">
        <v>1.042</v>
      </c>
      <c r="N325">
        <v>0</v>
      </c>
      <c r="O325">
        <v>0</v>
      </c>
      <c r="P325">
        <v>1.8130599999999999</v>
      </c>
      <c r="Q325">
        <v>13.21931</v>
      </c>
      <c r="R325">
        <v>0.73060999999999998</v>
      </c>
      <c r="S325">
        <v>0.33</v>
      </c>
      <c r="T325">
        <v>0.35474</v>
      </c>
      <c r="U325">
        <v>0</v>
      </c>
      <c r="V325">
        <v>0</v>
      </c>
      <c r="W325">
        <v>2.0998199999999998</v>
      </c>
      <c r="X325">
        <v>13.665469999999999</v>
      </c>
      <c r="Y325">
        <v>0.52519000000000005</v>
      </c>
      <c r="Z325">
        <v>0.33</v>
      </c>
      <c r="AA325">
        <v>0.37426999999999999</v>
      </c>
      <c r="AB325">
        <v>0</v>
      </c>
      <c r="AC325">
        <v>0</v>
      </c>
      <c r="AD325">
        <v>0</v>
      </c>
      <c r="AF325">
        <v>0.04</v>
      </c>
      <c r="AG325">
        <v>130518</v>
      </c>
      <c r="AH325">
        <v>0</v>
      </c>
      <c r="AI325">
        <v>0</v>
      </c>
      <c r="AJ325">
        <v>0.02</v>
      </c>
      <c r="AK325">
        <v>65259</v>
      </c>
      <c r="AL325">
        <v>0.04</v>
      </c>
      <c r="AM325">
        <v>133860</v>
      </c>
      <c r="AN325">
        <v>0</v>
      </c>
      <c r="AO325">
        <v>0</v>
      </c>
      <c r="AP325">
        <v>0.02</v>
      </c>
      <c r="AQ325">
        <v>66930</v>
      </c>
      <c r="AR325">
        <v>0.04</v>
      </c>
      <c r="AS325">
        <v>115334</v>
      </c>
      <c r="AT325">
        <v>0</v>
      </c>
      <c r="AU325">
        <v>0</v>
      </c>
      <c r="AV325">
        <v>0.02</v>
      </c>
      <c r="AW325">
        <v>57667</v>
      </c>
      <c r="BA325">
        <v>6987</v>
      </c>
      <c r="BB325" t="s">
        <v>522</v>
      </c>
      <c r="BC325">
        <v>698.9</v>
      </c>
      <c r="BD325">
        <v>682.3</v>
      </c>
    </row>
    <row r="326" spans="1:56" x14ac:dyDescent="0.25">
      <c r="A326">
        <v>6990</v>
      </c>
      <c r="B326" t="s">
        <v>523</v>
      </c>
      <c r="C326">
        <v>11.420640000000001</v>
      </c>
      <c r="D326">
        <v>1.67296</v>
      </c>
      <c r="E326">
        <v>0.33</v>
      </c>
      <c r="F326">
        <v>1.34</v>
      </c>
      <c r="G326">
        <v>0</v>
      </c>
      <c r="H326">
        <v>0</v>
      </c>
      <c r="I326">
        <v>2.57605</v>
      </c>
      <c r="J326">
        <v>11.205830000000001</v>
      </c>
      <c r="K326">
        <v>1.79348</v>
      </c>
      <c r="L326">
        <v>0.33</v>
      </c>
      <c r="M326">
        <v>1.34</v>
      </c>
      <c r="N326">
        <v>0</v>
      </c>
      <c r="O326">
        <v>0</v>
      </c>
      <c r="P326">
        <v>2.7408100000000002</v>
      </c>
      <c r="Q326">
        <v>11.60721</v>
      </c>
      <c r="R326">
        <v>1.4134</v>
      </c>
      <c r="S326">
        <v>0.33</v>
      </c>
      <c r="T326">
        <v>1.34</v>
      </c>
      <c r="U326">
        <v>0</v>
      </c>
      <c r="V326">
        <v>0</v>
      </c>
      <c r="W326">
        <v>2.8183600000000002</v>
      </c>
      <c r="X326">
        <v>15.060359999999999</v>
      </c>
      <c r="Y326">
        <v>0.66827000000000003</v>
      </c>
      <c r="Z326">
        <v>0.33</v>
      </c>
      <c r="AA326">
        <v>1.34</v>
      </c>
      <c r="AB326">
        <v>0</v>
      </c>
      <c r="AC326">
        <v>0</v>
      </c>
      <c r="AD326">
        <v>1.1085</v>
      </c>
      <c r="AF326">
        <v>7.0000000000000007E-2</v>
      </c>
      <c r="AG326">
        <v>218103</v>
      </c>
      <c r="AH326">
        <v>0</v>
      </c>
      <c r="AI326">
        <v>0</v>
      </c>
      <c r="AJ326">
        <v>0</v>
      </c>
      <c r="AK326">
        <v>0</v>
      </c>
      <c r="AL326">
        <v>0.06</v>
      </c>
      <c r="AM326">
        <v>182254</v>
      </c>
      <c r="AN326">
        <v>0</v>
      </c>
      <c r="AO326">
        <v>0</v>
      </c>
      <c r="AP326">
        <v>0</v>
      </c>
      <c r="AQ326">
        <v>0</v>
      </c>
      <c r="AR326">
        <v>0.06</v>
      </c>
      <c r="AS326">
        <v>166269</v>
      </c>
      <c r="AT326">
        <v>0</v>
      </c>
      <c r="AU326">
        <v>0</v>
      </c>
      <c r="AV326">
        <v>0</v>
      </c>
      <c r="AW326">
        <v>0</v>
      </c>
      <c r="BA326">
        <v>6990</v>
      </c>
      <c r="BB326" t="s">
        <v>523</v>
      </c>
      <c r="BC326">
        <v>738.1</v>
      </c>
      <c r="BD326">
        <v>755.1</v>
      </c>
    </row>
    <row r="327" spans="1:56" x14ac:dyDescent="0.25">
      <c r="A327">
        <v>6992</v>
      </c>
      <c r="B327" t="s">
        <v>525</v>
      </c>
      <c r="C327">
        <v>10.32574</v>
      </c>
      <c r="D327">
        <v>1.4179299999999999</v>
      </c>
      <c r="E327">
        <v>0.33</v>
      </c>
      <c r="F327">
        <v>0</v>
      </c>
      <c r="G327">
        <v>0</v>
      </c>
      <c r="H327">
        <v>0</v>
      </c>
      <c r="I327">
        <v>0</v>
      </c>
      <c r="J327">
        <v>10.08919</v>
      </c>
      <c r="K327">
        <v>1.7083299999999999</v>
      </c>
      <c r="L327">
        <v>0.33</v>
      </c>
      <c r="M327">
        <v>0</v>
      </c>
      <c r="N327">
        <v>0</v>
      </c>
      <c r="O327">
        <v>0</v>
      </c>
      <c r="P327">
        <v>0</v>
      </c>
      <c r="Q327">
        <v>10.50604</v>
      </c>
      <c r="R327">
        <v>1.46366</v>
      </c>
      <c r="S327">
        <v>0.33</v>
      </c>
      <c r="T327">
        <v>0</v>
      </c>
      <c r="U327">
        <v>0</v>
      </c>
      <c r="V327">
        <v>0</v>
      </c>
      <c r="W327">
        <v>0</v>
      </c>
      <c r="X327">
        <v>11.040480000000001</v>
      </c>
      <c r="Y327">
        <v>0.62502000000000002</v>
      </c>
      <c r="Z327">
        <v>0.33</v>
      </c>
      <c r="AA327">
        <v>0</v>
      </c>
      <c r="AB327">
        <v>0</v>
      </c>
      <c r="AC327">
        <v>0</v>
      </c>
      <c r="AD327">
        <v>0</v>
      </c>
      <c r="AF327">
        <v>0.06</v>
      </c>
      <c r="AG327">
        <v>177170</v>
      </c>
      <c r="AH327">
        <v>0</v>
      </c>
      <c r="AI327">
        <v>0</v>
      </c>
      <c r="AJ327">
        <v>0</v>
      </c>
      <c r="AK327">
        <v>0</v>
      </c>
      <c r="AL327">
        <v>0.06</v>
      </c>
      <c r="AM327">
        <v>160410</v>
      </c>
      <c r="AN327">
        <v>0</v>
      </c>
      <c r="AO327">
        <v>0</v>
      </c>
      <c r="AP327">
        <v>0</v>
      </c>
      <c r="AQ327">
        <v>0</v>
      </c>
      <c r="AR327">
        <v>0.06</v>
      </c>
      <c r="AS327">
        <v>164581</v>
      </c>
      <c r="AT327">
        <v>0</v>
      </c>
      <c r="AU327">
        <v>0</v>
      </c>
      <c r="AV327">
        <v>0</v>
      </c>
      <c r="AW327">
        <v>0</v>
      </c>
      <c r="BA327">
        <v>6961</v>
      </c>
      <c r="BB327" t="s">
        <v>524</v>
      </c>
      <c r="BC327">
        <v>2977.2</v>
      </c>
      <c r="BD327">
        <v>2949.6</v>
      </c>
    </row>
    <row r="328" spans="1:56" x14ac:dyDescent="0.25">
      <c r="A328">
        <v>7002</v>
      </c>
      <c r="B328" t="s">
        <v>526</v>
      </c>
      <c r="C328">
        <v>10.910869999999999</v>
      </c>
      <c r="D328">
        <v>0.39989000000000002</v>
      </c>
      <c r="E328">
        <v>0.33</v>
      </c>
      <c r="F328">
        <v>0.67</v>
      </c>
      <c r="G328">
        <v>0</v>
      </c>
      <c r="H328">
        <v>0</v>
      </c>
      <c r="I328">
        <v>1.07595</v>
      </c>
      <c r="J328">
        <v>8.7797900000000002</v>
      </c>
      <c r="K328">
        <v>0.95284000000000002</v>
      </c>
      <c r="L328">
        <v>0.33</v>
      </c>
      <c r="M328">
        <v>0.67</v>
      </c>
      <c r="N328">
        <v>0</v>
      </c>
      <c r="O328">
        <v>0</v>
      </c>
      <c r="P328">
        <v>1.23119</v>
      </c>
      <c r="Q328">
        <v>8.4542400000000004</v>
      </c>
      <c r="R328">
        <v>1.0382</v>
      </c>
      <c r="S328">
        <v>0.33</v>
      </c>
      <c r="T328">
        <v>0.67</v>
      </c>
      <c r="U328">
        <v>0</v>
      </c>
      <c r="V328">
        <v>0</v>
      </c>
      <c r="W328">
        <v>1.2232499999999999</v>
      </c>
      <c r="X328">
        <v>8.81311</v>
      </c>
      <c r="Y328">
        <v>1.08758</v>
      </c>
      <c r="Z328">
        <v>0.33</v>
      </c>
      <c r="AA328">
        <v>0.67</v>
      </c>
      <c r="AB328">
        <v>0</v>
      </c>
      <c r="AC328">
        <v>0</v>
      </c>
      <c r="AD328">
        <v>1.3664499999999999</v>
      </c>
      <c r="AF328">
        <v>0.09</v>
      </c>
      <c r="AG328">
        <v>77758</v>
      </c>
      <c r="AH328">
        <v>0</v>
      </c>
      <c r="AI328">
        <v>0</v>
      </c>
      <c r="AJ328">
        <v>0</v>
      </c>
      <c r="AK328">
        <v>0</v>
      </c>
      <c r="AL328">
        <v>0.09</v>
      </c>
      <c r="AM328">
        <v>82569</v>
      </c>
      <c r="AN328">
        <v>0</v>
      </c>
      <c r="AO328">
        <v>0</v>
      </c>
      <c r="AP328">
        <v>0</v>
      </c>
      <c r="AQ328">
        <v>0</v>
      </c>
      <c r="AR328">
        <v>0.09</v>
      </c>
      <c r="AS328">
        <v>92378</v>
      </c>
      <c r="AT328">
        <v>0</v>
      </c>
      <c r="AU328">
        <v>0</v>
      </c>
      <c r="AV328">
        <v>0</v>
      </c>
      <c r="AW328">
        <v>0</v>
      </c>
      <c r="BA328">
        <v>6992</v>
      </c>
      <c r="BB328" t="s">
        <v>525</v>
      </c>
      <c r="BC328">
        <v>544.20000000000005</v>
      </c>
      <c r="BD328">
        <v>521</v>
      </c>
    </row>
    <row r="329" spans="1:56" x14ac:dyDescent="0.25">
      <c r="A329">
        <v>7029</v>
      </c>
      <c r="B329" t="s">
        <v>527</v>
      </c>
      <c r="C329">
        <v>10.956060000000001</v>
      </c>
      <c r="D329">
        <v>1.2226699999999999</v>
      </c>
      <c r="E329">
        <v>0.33</v>
      </c>
      <c r="F329">
        <v>1.34</v>
      </c>
      <c r="G329">
        <v>0</v>
      </c>
      <c r="H329">
        <v>0</v>
      </c>
      <c r="I329">
        <v>0</v>
      </c>
      <c r="J329">
        <v>11.244479999999999</v>
      </c>
      <c r="K329">
        <v>1.23245</v>
      </c>
      <c r="L329">
        <v>0.33</v>
      </c>
      <c r="M329">
        <v>1.34</v>
      </c>
      <c r="N329">
        <v>0</v>
      </c>
      <c r="O329">
        <v>0</v>
      </c>
      <c r="P329">
        <v>0</v>
      </c>
      <c r="Q329">
        <v>12.023</v>
      </c>
      <c r="R329">
        <v>1.071</v>
      </c>
      <c r="S329">
        <v>0.33</v>
      </c>
      <c r="T329">
        <v>1.34</v>
      </c>
      <c r="U329">
        <v>0</v>
      </c>
      <c r="V329">
        <v>0</v>
      </c>
      <c r="W329">
        <v>0</v>
      </c>
      <c r="X329">
        <v>13.151949999999999</v>
      </c>
      <c r="Y329">
        <v>0.78032999999999997</v>
      </c>
      <c r="Z329">
        <v>0.33</v>
      </c>
      <c r="AA329">
        <v>1.34</v>
      </c>
      <c r="AB329">
        <v>0</v>
      </c>
      <c r="AC329">
        <v>0</v>
      </c>
      <c r="AD329">
        <v>0</v>
      </c>
      <c r="AF329">
        <v>0.01</v>
      </c>
      <c r="AG329">
        <v>66378</v>
      </c>
      <c r="AH329">
        <v>0</v>
      </c>
      <c r="AI329">
        <v>0</v>
      </c>
      <c r="AJ329">
        <v>0</v>
      </c>
      <c r="AK329">
        <v>0</v>
      </c>
      <c r="AL329">
        <v>0.02</v>
      </c>
      <c r="AM329">
        <v>118685</v>
      </c>
      <c r="AN329">
        <v>0</v>
      </c>
      <c r="AO329">
        <v>0</v>
      </c>
      <c r="AP329">
        <v>0</v>
      </c>
      <c r="AQ329">
        <v>0</v>
      </c>
      <c r="AR329">
        <v>0.08</v>
      </c>
      <c r="AS329">
        <v>478278</v>
      </c>
      <c r="AT329">
        <v>0</v>
      </c>
      <c r="AU329">
        <v>0</v>
      </c>
      <c r="AV329">
        <v>0</v>
      </c>
      <c r="AW329">
        <v>0</v>
      </c>
      <c r="BA329">
        <v>7002</v>
      </c>
      <c r="BB329" t="s">
        <v>526</v>
      </c>
      <c r="BC329">
        <v>196.1</v>
      </c>
      <c r="BD329">
        <v>171.3</v>
      </c>
    </row>
    <row r="330" spans="1:56" x14ac:dyDescent="0.25">
      <c r="A330">
        <v>7038</v>
      </c>
      <c r="B330" t="s">
        <v>528</v>
      </c>
      <c r="C330">
        <v>11.53628</v>
      </c>
      <c r="D330">
        <v>0.67125999999999997</v>
      </c>
      <c r="E330">
        <v>0.33</v>
      </c>
      <c r="F330">
        <v>0</v>
      </c>
      <c r="G330">
        <v>0</v>
      </c>
      <c r="H330">
        <v>0</v>
      </c>
      <c r="I330">
        <v>2.95</v>
      </c>
      <c r="J330">
        <v>11.31582</v>
      </c>
      <c r="K330">
        <v>1.22017</v>
      </c>
      <c r="L330">
        <v>0.33</v>
      </c>
      <c r="M330">
        <v>0</v>
      </c>
      <c r="N330">
        <v>0</v>
      </c>
      <c r="O330">
        <v>0</v>
      </c>
      <c r="P330">
        <v>0</v>
      </c>
      <c r="Q330">
        <v>11.16883</v>
      </c>
      <c r="R330">
        <v>1.2577799999999999</v>
      </c>
      <c r="S330">
        <v>0.33</v>
      </c>
      <c r="T330">
        <v>0</v>
      </c>
      <c r="U330">
        <v>0</v>
      </c>
      <c r="V330">
        <v>0</v>
      </c>
      <c r="W330">
        <v>0</v>
      </c>
      <c r="X330">
        <v>12.742789999999999</v>
      </c>
      <c r="Y330">
        <v>0.88124999999999998</v>
      </c>
      <c r="Z330">
        <v>0.33</v>
      </c>
      <c r="AA330">
        <v>0</v>
      </c>
      <c r="AB330">
        <v>0</v>
      </c>
      <c r="AC330">
        <v>0</v>
      </c>
      <c r="AD330">
        <v>0</v>
      </c>
      <c r="AF330">
        <v>0.04</v>
      </c>
      <c r="AG330">
        <v>154923</v>
      </c>
      <c r="AH330">
        <v>0</v>
      </c>
      <c r="AI330">
        <v>0</v>
      </c>
      <c r="AJ330">
        <v>0</v>
      </c>
      <c r="AK330">
        <v>0</v>
      </c>
      <c r="AL330">
        <v>0.05</v>
      </c>
      <c r="AM330">
        <v>190079</v>
      </c>
      <c r="AN330">
        <v>0</v>
      </c>
      <c r="AO330">
        <v>0</v>
      </c>
      <c r="AP330">
        <v>0</v>
      </c>
      <c r="AQ330">
        <v>0</v>
      </c>
      <c r="AR330">
        <v>0.09</v>
      </c>
      <c r="AS330">
        <v>330373</v>
      </c>
      <c r="AT330">
        <v>0</v>
      </c>
      <c r="AU330">
        <v>0</v>
      </c>
      <c r="AV330">
        <v>0</v>
      </c>
      <c r="AW330">
        <v>0</v>
      </c>
      <c r="BA330">
        <v>7029</v>
      </c>
      <c r="BB330" t="s">
        <v>527</v>
      </c>
      <c r="BC330">
        <v>1141.7</v>
      </c>
      <c r="BD330">
        <v>1143.5999999999999</v>
      </c>
    </row>
    <row r="331" spans="1:56" x14ac:dyDescent="0.25">
      <c r="A331">
        <v>7047</v>
      </c>
      <c r="B331" t="s">
        <v>529</v>
      </c>
      <c r="C331">
        <v>10.43614</v>
      </c>
      <c r="D331">
        <v>0.90693000000000001</v>
      </c>
      <c r="E331">
        <v>0.33</v>
      </c>
      <c r="F331">
        <v>1.34</v>
      </c>
      <c r="G331">
        <v>0</v>
      </c>
      <c r="H331">
        <v>0</v>
      </c>
      <c r="I331">
        <v>0</v>
      </c>
      <c r="J331">
        <v>10.601979999999999</v>
      </c>
      <c r="K331">
        <v>0.44921</v>
      </c>
      <c r="L331">
        <v>0.33</v>
      </c>
      <c r="M331">
        <v>1.34</v>
      </c>
      <c r="N331">
        <v>0</v>
      </c>
      <c r="O331">
        <v>0</v>
      </c>
      <c r="P331">
        <v>0</v>
      </c>
      <c r="Q331">
        <v>11.558020000000001</v>
      </c>
      <c r="R331">
        <v>0.29197000000000001</v>
      </c>
      <c r="S331">
        <v>0.33</v>
      </c>
      <c r="T331">
        <v>1.34</v>
      </c>
      <c r="U331">
        <v>0</v>
      </c>
      <c r="V331">
        <v>0</v>
      </c>
      <c r="W331">
        <v>0</v>
      </c>
      <c r="X331">
        <v>10.57713</v>
      </c>
      <c r="Y331">
        <v>0.85960000000000003</v>
      </c>
      <c r="Z331">
        <v>0.33</v>
      </c>
      <c r="AA331">
        <v>1.34</v>
      </c>
      <c r="AB331">
        <v>0</v>
      </c>
      <c r="AC331">
        <v>0</v>
      </c>
      <c r="AD331">
        <v>0</v>
      </c>
      <c r="AF331">
        <v>7.0000000000000007E-2</v>
      </c>
      <c r="AG331">
        <v>86077</v>
      </c>
      <c r="AH331">
        <v>0</v>
      </c>
      <c r="AI331">
        <v>0</v>
      </c>
      <c r="AJ331">
        <v>0</v>
      </c>
      <c r="AK331">
        <v>0</v>
      </c>
      <c r="AL331">
        <v>7.0000000000000007E-2</v>
      </c>
      <c r="AM331">
        <v>86928</v>
      </c>
      <c r="AN331">
        <v>0</v>
      </c>
      <c r="AO331">
        <v>0</v>
      </c>
      <c r="AP331">
        <v>0</v>
      </c>
      <c r="AQ331">
        <v>0</v>
      </c>
      <c r="AR331">
        <v>7.0000000000000007E-2</v>
      </c>
      <c r="AS331">
        <v>87739</v>
      </c>
      <c r="AT331">
        <v>0</v>
      </c>
      <c r="AU331">
        <v>0</v>
      </c>
      <c r="AV331">
        <v>0</v>
      </c>
      <c r="AW331">
        <v>0</v>
      </c>
      <c r="BA331">
        <v>7038</v>
      </c>
      <c r="BB331" t="s">
        <v>528</v>
      </c>
      <c r="BC331">
        <v>772.6</v>
      </c>
      <c r="BD331">
        <v>762</v>
      </c>
    </row>
    <row r="332" spans="1:56" x14ac:dyDescent="0.25">
      <c r="A332">
        <v>7056</v>
      </c>
      <c r="B332" t="s">
        <v>530</v>
      </c>
      <c r="C332">
        <v>13.55096</v>
      </c>
      <c r="D332">
        <v>1.1284799999999999</v>
      </c>
      <c r="E332">
        <v>0.32994000000000001</v>
      </c>
      <c r="F332">
        <v>1.3397600000000001</v>
      </c>
      <c r="G332">
        <v>0</v>
      </c>
      <c r="H332">
        <v>0</v>
      </c>
      <c r="I332">
        <v>2.14086</v>
      </c>
      <c r="J332">
        <v>14.50051</v>
      </c>
      <c r="K332">
        <v>2.0499999999999998</v>
      </c>
      <c r="L332">
        <v>0.33</v>
      </c>
      <c r="M332">
        <v>0</v>
      </c>
      <c r="N332">
        <v>0</v>
      </c>
      <c r="O332">
        <v>0</v>
      </c>
      <c r="P332">
        <v>2.1455600000000001</v>
      </c>
      <c r="Q332">
        <v>14.603579999999999</v>
      </c>
      <c r="R332">
        <v>2.2964600000000002</v>
      </c>
      <c r="S332">
        <v>0.33</v>
      </c>
      <c r="T332">
        <v>0</v>
      </c>
      <c r="U332">
        <v>0</v>
      </c>
      <c r="V332">
        <v>0</v>
      </c>
      <c r="W332">
        <v>2.2014800000000001</v>
      </c>
      <c r="X332">
        <v>14.982279999999999</v>
      </c>
      <c r="Y332">
        <v>2.0617800000000002</v>
      </c>
      <c r="Z332">
        <v>0.33</v>
      </c>
      <c r="AA332">
        <v>0</v>
      </c>
      <c r="AB332">
        <v>0</v>
      </c>
      <c r="AC332">
        <v>0</v>
      </c>
      <c r="AD332">
        <v>2.2386699999999999</v>
      </c>
      <c r="AF332">
        <v>0.04</v>
      </c>
      <c r="AG332">
        <v>337966</v>
      </c>
      <c r="AH332">
        <v>0</v>
      </c>
      <c r="AI332">
        <v>0</v>
      </c>
      <c r="AJ332">
        <v>0</v>
      </c>
      <c r="AK332">
        <v>0</v>
      </c>
      <c r="AL332">
        <v>0.03</v>
      </c>
      <c r="AM332">
        <v>279556</v>
      </c>
      <c r="AN332">
        <v>0</v>
      </c>
      <c r="AO332">
        <v>0</v>
      </c>
      <c r="AP332">
        <v>0</v>
      </c>
      <c r="AQ332">
        <v>0</v>
      </c>
      <c r="AR332">
        <v>0.04</v>
      </c>
      <c r="AS332">
        <v>303826</v>
      </c>
      <c r="AT332">
        <v>0</v>
      </c>
      <c r="AU332">
        <v>0</v>
      </c>
      <c r="AV332">
        <v>0</v>
      </c>
      <c r="AW332">
        <v>0</v>
      </c>
      <c r="BA332">
        <v>7047</v>
      </c>
      <c r="BB332" t="s">
        <v>529</v>
      </c>
      <c r="BC332">
        <v>375</v>
      </c>
      <c r="BD332">
        <v>377.7</v>
      </c>
    </row>
    <row r="333" spans="1:56" x14ac:dyDescent="0.25">
      <c r="A333">
        <v>7092</v>
      </c>
      <c r="B333" t="s">
        <v>531</v>
      </c>
      <c r="C333">
        <v>11.171340000000001</v>
      </c>
      <c r="D333">
        <v>1.19293</v>
      </c>
      <c r="E333">
        <v>0.33</v>
      </c>
      <c r="F333">
        <v>0.66544000000000003</v>
      </c>
      <c r="G333">
        <v>0</v>
      </c>
      <c r="H333">
        <v>0</v>
      </c>
      <c r="I333">
        <v>1.83456</v>
      </c>
      <c r="J333">
        <v>12.97439</v>
      </c>
      <c r="K333">
        <v>0.93432000000000004</v>
      </c>
      <c r="L333">
        <v>0.33</v>
      </c>
      <c r="M333">
        <v>0.64859</v>
      </c>
      <c r="N333">
        <v>0</v>
      </c>
      <c r="O333">
        <v>0</v>
      </c>
      <c r="P333">
        <v>1.8849400000000001</v>
      </c>
      <c r="Q333">
        <v>13.86253</v>
      </c>
      <c r="R333">
        <v>0.81918000000000002</v>
      </c>
      <c r="S333">
        <v>0.33</v>
      </c>
      <c r="T333">
        <v>0.69193000000000005</v>
      </c>
      <c r="U333">
        <v>0</v>
      </c>
      <c r="V333">
        <v>0</v>
      </c>
      <c r="W333">
        <v>1.99563</v>
      </c>
      <c r="X333">
        <v>13.75032</v>
      </c>
      <c r="Y333">
        <v>0.69774000000000003</v>
      </c>
      <c r="Z333">
        <v>0.33</v>
      </c>
      <c r="AA333">
        <v>0.60336999999999996</v>
      </c>
      <c r="AB333">
        <v>0</v>
      </c>
      <c r="AC333">
        <v>0</v>
      </c>
      <c r="AD333">
        <v>2.4476900000000001</v>
      </c>
      <c r="AF333">
        <v>0.1</v>
      </c>
      <c r="AG333">
        <v>199550</v>
      </c>
      <c r="AH333">
        <v>0</v>
      </c>
      <c r="AI333">
        <v>0</v>
      </c>
      <c r="AJ333">
        <v>0.05</v>
      </c>
      <c r="AK333">
        <v>99775</v>
      </c>
      <c r="AL333">
        <v>0.1</v>
      </c>
      <c r="AM333">
        <v>178460</v>
      </c>
      <c r="AN333">
        <v>0</v>
      </c>
      <c r="AO333">
        <v>0</v>
      </c>
      <c r="AP333">
        <v>0.05</v>
      </c>
      <c r="AQ333">
        <v>89230</v>
      </c>
      <c r="AR333">
        <v>0.1</v>
      </c>
      <c r="AS333">
        <v>152044</v>
      </c>
      <c r="AT333">
        <v>0</v>
      </c>
      <c r="AU333">
        <v>0</v>
      </c>
      <c r="AV333">
        <v>0.06</v>
      </c>
      <c r="AW333">
        <v>91227</v>
      </c>
      <c r="BA333">
        <v>7056</v>
      </c>
      <c r="BB333" t="s">
        <v>530</v>
      </c>
      <c r="BC333">
        <v>1705.8</v>
      </c>
      <c r="BD333">
        <v>1714.9</v>
      </c>
    </row>
    <row r="334" spans="1:56" x14ac:dyDescent="0.25">
      <c r="A334">
        <v>7098</v>
      </c>
      <c r="B334" t="s">
        <v>532</v>
      </c>
      <c r="C334">
        <v>11.75624</v>
      </c>
      <c r="D334">
        <v>0.56437000000000004</v>
      </c>
      <c r="E334">
        <v>0.33</v>
      </c>
      <c r="F334">
        <v>0</v>
      </c>
      <c r="G334">
        <v>0</v>
      </c>
      <c r="H334">
        <v>0</v>
      </c>
      <c r="I334">
        <v>0</v>
      </c>
      <c r="J334">
        <v>13.10101</v>
      </c>
      <c r="K334">
        <v>0</v>
      </c>
      <c r="L334">
        <v>0.33</v>
      </c>
      <c r="M334">
        <v>0</v>
      </c>
      <c r="N334">
        <v>0</v>
      </c>
      <c r="O334">
        <v>0</v>
      </c>
      <c r="P334">
        <v>0</v>
      </c>
      <c r="Q334">
        <v>13.106109999999999</v>
      </c>
      <c r="R334">
        <v>0.41476000000000002</v>
      </c>
      <c r="S334">
        <v>0.33</v>
      </c>
      <c r="T334">
        <v>0</v>
      </c>
      <c r="U334">
        <v>0</v>
      </c>
      <c r="V334">
        <v>0</v>
      </c>
      <c r="W334">
        <v>0</v>
      </c>
      <c r="X334">
        <v>13.111050000000001</v>
      </c>
      <c r="Y334">
        <v>0.96497999999999995</v>
      </c>
      <c r="Z334">
        <v>0.33</v>
      </c>
      <c r="AA334">
        <v>0</v>
      </c>
      <c r="AB334">
        <v>0</v>
      </c>
      <c r="AC334">
        <v>0</v>
      </c>
      <c r="AD334">
        <v>0</v>
      </c>
      <c r="AF334">
        <v>0.05</v>
      </c>
      <c r="AG334">
        <v>151747</v>
      </c>
      <c r="AH334">
        <v>0</v>
      </c>
      <c r="AI334">
        <v>0</v>
      </c>
      <c r="AJ334">
        <v>0</v>
      </c>
      <c r="AK334">
        <v>0</v>
      </c>
      <c r="AL334">
        <v>0.05</v>
      </c>
      <c r="AM334">
        <v>157026</v>
      </c>
      <c r="AN334">
        <v>0</v>
      </c>
      <c r="AO334">
        <v>0</v>
      </c>
      <c r="AP334">
        <v>0</v>
      </c>
      <c r="AQ334">
        <v>0</v>
      </c>
      <c r="AR334">
        <v>0.05</v>
      </c>
      <c r="AS334">
        <v>133904</v>
      </c>
      <c r="AT334">
        <v>0</v>
      </c>
      <c r="AU334">
        <v>0</v>
      </c>
      <c r="AV334">
        <v>0</v>
      </c>
      <c r="AW334">
        <v>0</v>
      </c>
      <c r="BA334">
        <v>7092</v>
      </c>
      <c r="BB334" t="s">
        <v>531</v>
      </c>
      <c r="BC334">
        <v>432.5</v>
      </c>
      <c r="BD334">
        <v>443.8</v>
      </c>
    </row>
    <row r="335" spans="1:56" x14ac:dyDescent="0.25">
      <c r="A335">
        <v>7110</v>
      </c>
      <c r="B335" t="s">
        <v>533</v>
      </c>
      <c r="C335">
        <v>12.20398</v>
      </c>
      <c r="D335">
        <v>1.26597</v>
      </c>
      <c r="E335">
        <v>0.33</v>
      </c>
      <c r="F335">
        <v>1.34</v>
      </c>
      <c r="G335">
        <v>0</v>
      </c>
      <c r="H335">
        <v>0</v>
      </c>
      <c r="I335">
        <v>3.9272999999999998</v>
      </c>
      <c r="J335">
        <v>12.93852</v>
      </c>
      <c r="K335">
        <v>1.2547699999999999</v>
      </c>
      <c r="L335">
        <v>0.33</v>
      </c>
      <c r="M335">
        <v>1.34</v>
      </c>
      <c r="N335">
        <v>0</v>
      </c>
      <c r="O335">
        <v>0</v>
      </c>
      <c r="P335">
        <v>3.2500100000000001</v>
      </c>
      <c r="Q335">
        <v>13.77328</v>
      </c>
      <c r="R335">
        <v>1.3156699999999999</v>
      </c>
      <c r="S335">
        <v>0.33</v>
      </c>
      <c r="T335">
        <v>1.34</v>
      </c>
      <c r="U335">
        <v>0</v>
      </c>
      <c r="V335">
        <v>0</v>
      </c>
      <c r="W335">
        <v>2.73326</v>
      </c>
      <c r="X335">
        <v>14.605700000000001</v>
      </c>
      <c r="Y335">
        <v>1.17509</v>
      </c>
      <c r="Z335">
        <v>0.33</v>
      </c>
      <c r="AA335">
        <v>1.34</v>
      </c>
      <c r="AB335">
        <v>0</v>
      </c>
      <c r="AC335">
        <v>0</v>
      </c>
      <c r="AD335">
        <v>2.2997899999999998</v>
      </c>
      <c r="AF335">
        <v>7.0000000000000007E-2</v>
      </c>
      <c r="AG335">
        <v>344686</v>
      </c>
      <c r="AH335">
        <v>0</v>
      </c>
      <c r="AI335">
        <v>0</v>
      </c>
      <c r="AJ335">
        <v>0</v>
      </c>
      <c r="AK335">
        <v>0</v>
      </c>
      <c r="AL335">
        <v>0.08</v>
      </c>
      <c r="AM335">
        <v>365568</v>
      </c>
      <c r="AN335">
        <v>0</v>
      </c>
      <c r="AO335">
        <v>0</v>
      </c>
      <c r="AP335">
        <v>0</v>
      </c>
      <c r="AQ335">
        <v>0</v>
      </c>
      <c r="AR335">
        <v>0.08</v>
      </c>
      <c r="AS335">
        <v>346962</v>
      </c>
      <c r="AT335">
        <v>0</v>
      </c>
      <c r="AU335">
        <v>0</v>
      </c>
      <c r="AV335">
        <v>0</v>
      </c>
      <c r="AW335">
        <v>0</v>
      </c>
      <c r="BA335">
        <v>7098</v>
      </c>
      <c r="BB335" t="s">
        <v>532</v>
      </c>
      <c r="BC335">
        <v>589.1</v>
      </c>
      <c r="BD335">
        <v>565.5</v>
      </c>
    </row>
    <row r="336" spans="1:56" x14ac:dyDescent="0.25">
      <c r="BA336">
        <v>7110</v>
      </c>
      <c r="BB336" t="s">
        <v>533</v>
      </c>
      <c r="BC336">
        <v>850.2</v>
      </c>
      <c r="BD336">
        <v>912.3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S1335"/>
  <sheetViews>
    <sheetView workbookViewId="0"/>
  </sheetViews>
  <sheetFormatPr defaultRowHeight="15" x14ac:dyDescent="0.25"/>
  <sheetData>
    <row r="2" spans="1:71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</row>
    <row r="3" spans="1:71" x14ac:dyDescent="0.25">
      <c r="A3" t="s">
        <v>644</v>
      </c>
      <c r="B3" s="4" t="s">
        <v>645</v>
      </c>
      <c r="C3" s="4" t="s">
        <v>646</v>
      </c>
      <c r="D3" s="4" t="s">
        <v>647</v>
      </c>
      <c r="E3" s="4" t="s">
        <v>648</v>
      </c>
      <c r="F3" s="4" t="s">
        <v>649</v>
      </c>
      <c r="G3" s="4" t="s">
        <v>650</v>
      </c>
      <c r="H3" s="4" t="s">
        <v>651</v>
      </c>
      <c r="I3" s="4" t="s">
        <v>652</v>
      </c>
      <c r="J3" s="4" t="s">
        <v>653</v>
      </c>
      <c r="K3" s="4" t="s">
        <v>654</v>
      </c>
      <c r="L3" s="4" t="s">
        <v>655</v>
      </c>
      <c r="M3" s="4" t="s">
        <v>656</v>
      </c>
      <c r="N3" s="4" t="s">
        <v>657</v>
      </c>
      <c r="O3" t="s">
        <v>658</v>
      </c>
      <c r="P3" t="s">
        <v>659</v>
      </c>
      <c r="Q3" t="s">
        <v>660</v>
      </c>
      <c r="R3" t="s">
        <v>661</v>
      </c>
      <c r="S3" t="s">
        <v>662</v>
      </c>
      <c r="T3" t="s">
        <v>663</v>
      </c>
      <c r="U3" t="s">
        <v>664</v>
      </c>
      <c r="V3" t="s">
        <v>665</v>
      </c>
      <c r="W3" t="s">
        <v>666</v>
      </c>
      <c r="X3" t="s">
        <v>667</v>
      </c>
      <c r="Y3" t="s">
        <v>668</v>
      </c>
      <c r="Z3" t="s">
        <v>669</v>
      </c>
      <c r="AA3" s="4" t="s">
        <v>670</v>
      </c>
      <c r="AB3" s="4" t="s">
        <v>671</v>
      </c>
      <c r="AC3" s="4" t="s">
        <v>672</v>
      </c>
      <c r="AD3" s="4" t="s">
        <v>673</v>
      </c>
      <c r="AE3" s="4" t="s">
        <v>674</v>
      </c>
      <c r="AF3" s="4" t="s">
        <v>675</v>
      </c>
      <c r="AG3" s="4" t="s">
        <v>676</v>
      </c>
      <c r="AH3" s="4" t="s">
        <v>677</v>
      </c>
      <c r="AI3" s="4" t="s">
        <v>678</v>
      </c>
      <c r="AJ3" s="4" t="s">
        <v>679</v>
      </c>
      <c r="AK3" s="4" t="s">
        <v>680</v>
      </c>
      <c r="AL3" t="s">
        <v>681</v>
      </c>
      <c r="AM3" t="s">
        <v>682</v>
      </c>
      <c r="AN3" t="s">
        <v>683</v>
      </c>
      <c r="AO3" t="s">
        <v>684</v>
      </c>
      <c r="AP3" t="s">
        <v>685</v>
      </c>
      <c r="AQ3" t="s">
        <v>686</v>
      </c>
      <c r="AR3" t="s">
        <v>687</v>
      </c>
      <c r="AS3" t="s">
        <v>688</v>
      </c>
      <c r="AT3" t="s">
        <v>689</v>
      </c>
      <c r="AU3" t="s">
        <v>690</v>
      </c>
      <c r="AV3" t="s">
        <v>691</v>
      </c>
      <c r="AW3" t="s">
        <v>692</v>
      </c>
      <c r="AX3" t="s">
        <v>693</v>
      </c>
      <c r="AY3" t="s">
        <v>694</v>
      </c>
      <c r="AZ3" t="s">
        <v>695</v>
      </c>
      <c r="BA3" t="s">
        <v>696</v>
      </c>
      <c r="BB3" t="s">
        <v>697</v>
      </c>
      <c r="BC3" t="s">
        <v>698</v>
      </c>
      <c r="BD3" t="s">
        <v>699</v>
      </c>
      <c r="BE3" t="s">
        <v>700</v>
      </c>
      <c r="BF3" t="s">
        <v>701</v>
      </c>
      <c r="BG3" t="s">
        <v>702</v>
      </c>
      <c r="BH3" t="s">
        <v>703</v>
      </c>
      <c r="BI3" t="s">
        <v>704</v>
      </c>
      <c r="BJ3" t="s">
        <v>705</v>
      </c>
      <c r="BK3" t="s">
        <v>706</v>
      </c>
      <c r="BL3" t="s">
        <v>707</v>
      </c>
      <c r="BM3" t="s">
        <v>708</v>
      </c>
      <c r="BN3" t="s">
        <v>709</v>
      </c>
      <c r="BO3" t="s">
        <v>710</v>
      </c>
      <c r="BP3" t="s">
        <v>711</v>
      </c>
      <c r="BQ3" t="s">
        <v>712</v>
      </c>
      <c r="BR3" t="s">
        <v>713</v>
      </c>
      <c r="BS3" t="s">
        <v>714</v>
      </c>
    </row>
    <row r="4" spans="1:71" x14ac:dyDescent="0.25">
      <c r="A4" t="s">
        <v>715</v>
      </c>
      <c r="B4" s="4" t="s">
        <v>197</v>
      </c>
      <c r="C4" s="4">
        <v>14875.72</v>
      </c>
      <c r="D4" s="4">
        <v>75888.009999999995</v>
      </c>
      <c r="E4" s="4">
        <v>0</v>
      </c>
      <c r="F4" s="4">
        <v>18945.25</v>
      </c>
      <c r="G4" s="4">
        <v>74244.94</v>
      </c>
      <c r="H4" s="4">
        <v>5174.62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>
        <v>0</v>
      </c>
      <c r="P4">
        <v>0</v>
      </c>
      <c r="Q4">
        <v>117376.92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34739.97</v>
      </c>
      <c r="Y4">
        <v>0</v>
      </c>
      <c r="Z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28876.21</v>
      </c>
      <c r="BE4">
        <v>0</v>
      </c>
      <c r="BF4">
        <v>0</v>
      </c>
      <c r="BG4">
        <v>19102.099999999999</v>
      </c>
      <c r="BH4">
        <v>0</v>
      </c>
      <c r="BI4">
        <v>9258.5499999999993</v>
      </c>
      <c r="BJ4">
        <v>0</v>
      </c>
      <c r="BK4">
        <v>0</v>
      </c>
      <c r="BL4">
        <v>0</v>
      </c>
      <c r="BM4">
        <v>497.06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</row>
    <row r="5" spans="1:71" x14ac:dyDescent="0.25">
      <c r="A5" t="s">
        <v>716</v>
      </c>
      <c r="B5" s="4" t="s">
        <v>717</v>
      </c>
      <c r="C5" s="4">
        <v>1782.69</v>
      </c>
      <c r="D5" s="4">
        <v>15130.18</v>
      </c>
      <c r="E5" s="4">
        <v>0</v>
      </c>
      <c r="F5" s="4">
        <v>0</v>
      </c>
      <c r="G5" s="4">
        <v>0</v>
      </c>
      <c r="H5" s="4">
        <v>13986.47</v>
      </c>
      <c r="I5" s="4">
        <v>0</v>
      </c>
      <c r="J5" s="4">
        <v>0</v>
      </c>
      <c r="K5" s="4">
        <v>12645.53</v>
      </c>
      <c r="L5" s="4">
        <v>0</v>
      </c>
      <c r="M5" s="4">
        <v>0</v>
      </c>
      <c r="N5" s="4">
        <v>0</v>
      </c>
      <c r="O5">
        <v>0</v>
      </c>
      <c r="P5">
        <v>0</v>
      </c>
      <c r="Q5">
        <v>78484.59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2894.91</v>
      </c>
      <c r="Y5">
        <v>0</v>
      </c>
      <c r="Z5">
        <v>0</v>
      </c>
      <c r="AA5" s="4">
        <v>14647.72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10339.52</v>
      </c>
      <c r="BE5">
        <v>0</v>
      </c>
      <c r="BF5">
        <v>0</v>
      </c>
      <c r="BG5">
        <v>0</v>
      </c>
      <c r="BH5">
        <v>0</v>
      </c>
      <c r="BI5">
        <v>4312.49</v>
      </c>
      <c r="BJ5">
        <v>0</v>
      </c>
      <c r="BK5">
        <v>0</v>
      </c>
      <c r="BL5">
        <v>0</v>
      </c>
      <c r="BM5">
        <v>3237.69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</row>
    <row r="6" spans="1:71" x14ac:dyDescent="0.25">
      <c r="A6" t="s">
        <v>718</v>
      </c>
      <c r="B6" s="4" t="s">
        <v>719</v>
      </c>
      <c r="C6" s="4">
        <v>0</v>
      </c>
      <c r="D6" s="4">
        <v>6427.57</v>
      </c>
      <c r="E6" s="4">
        <v>0</v>
      </c>
      <c r="F6" s="4">
        <v>0</v>
      </c>
      <c r="G6" s="4">
        <v>47550.86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33224.050000000003</v>
      </c>
      <c r="Y6">
        <v>5805.99</v>
      </c>
      <c r="Z6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33646.449999999997</v>
      </c>
      <c r="BE6">
        <v>0</v>
      </c>
      <c r="BF6">
        <v>0</v>
      </c>
      <c r="BG6">
        <v>15451.56</v>
      </c>
      <c r="BH6">
        <v>0</v>
      </c>
      <c r="BI6">
        <v>27598.63</v>
      </c>
      <c r="BJ6">
        <v>0</v>
      </c>
      <c r="BK6">
        <v>967.84</v>
      </c>
      <c r="BL6">
        <v>0</v>
      </c>
      <c r="BM6">
        <v>5895.95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</row>
    <row r="7" spans="1:71" x14ac:dyDescent="0.25">
      <c r="A7" t="s">
        <v>720</v>
      </c>
      <c r="B7" s="4" t="s">
        <v>721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>
        <v>0</v>
      </c>
      <c r="P7">
        <v>0</v>
      </c>
      <c r="Q7">
        <v>40303.629999999997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18471.98</v>
      </c>
      <c r="Y7">
        <v>0</v>
      </c>
      <c r="Z7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3890.27</v>
      </c>
      <c r="BE7">
        <v>0</v>
      </c>
      <c r="BF7">
        <v>0</v>
      </c>
      <c r="BG7">
        <v>11487.97</v>
      </c>
      <c r="BH7">
        <v>0</v>
      </c>
      <c r="BI7">
        <v>1325.76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1" x14ac:dyDescent="0.25">
      <c r="A8" t="s">
        <v>722</v>
      </c>
      <c r="B8" s="4" t="s">
        <v>723</v>
      </c>
      <c r="C8" s="4">
        <v>0</v>
      </c>
      <c r="D8" s="4">
        <v>0</v>
      </c>
      <c r="E8" s="4">
        <v>0</v>
      </c>
      <c r="F8" s="4">
        <v>0</v>
      </c>
      <c r="G8" s="4">
        <v>2295.4899999999998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64365.72</v>
      </c>
      <c r="Y8">
        <v>1447</v>
      </c>
      <c r="Z8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800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2680.36</v>
      </c>
      <c r="BE8">
        <v>0</v>
      </c>
      <c r="BF8">
        <v>0</v>
      </c>
      <c r="BG8">
        <v>11896.28</v>
      </c>
      <c r="BH8">
        <v>0</v>
      </c>
      <c r="BI8">
        <v>12925.94</v>
      </c>
      <c r="BJ8">
        <v>0</v>
      </c>
      <c r="BK8">
        <v>1479.69</v>
      </c>
      <c r="BL8">
        <v>0</v>
      </c>
      <c r="BM8">
        <v>5790.23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1" x14ac:dyDescent="0.25">
      <c r="A9" t="s">
        <v>724</v>
      </c>
      <c r="B9" s="4" t="s">
        <v>725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>
        <v>0</v>
      </c>
      <c r="P9">
        <v>0</v>
      </c>
      <c r="Q9">
        <v>13211.6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73659.649999999994</v>
      </c>
      <c r="Y9">
        <v>0</v>
      </c>
      <c r="Z9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36817.599999999999</v>
      </c>
      <c r="BH9">
        <v>0</v>
      </c>
      <c r="BI9">
        <v>23718.97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1" x14ac:dyDescent="0.25">
      <c r="A10" t="s">
        <v>726</v>
      </c>
      <c r="B10" s="4" t="s">
        <v>727</v>
      </c>
      <c r="C10" s="4">
        <v>0</v>
      </c>
      <c r="D10" s="4">
        <v>3306</v>
      </c>
      <c r="E10" s="4">
        <v>0</v>
      </c>
      <c r="F10" s="4">
        <v>0</v>
      </c>
      <c r="G10" s="4">
        <v>4363.3100000000004</v>
      </c>
      <c r="H10" s="4">
        <v>181147.25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1077.79</v>
      </c>
      <c r="W10">
        <v>0</v>
      </c>
      <c r="X10">
        <v>0</v>
      </c>
      <c r="Y10">
        <v>0</v>
      </c>
      <c r="Z10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21362.43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1" x14ac:dyDescent="0.25">
      <c r="A11" t="s">
        <v>728</v>
      </c>
      <c r="B11" s="4" t="s">
        <v>729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40894.54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>
        <v>0</v>
      </c>
      <c r="P11">
        <v>0</v>
      </c>
      <c r="Q11">
        <v>32619.75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42827.06</v>
      </c>
      <c r="Y11">
        <v>0</v>
      </c>
      <c r="Z11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22364.58</v>
      </c>
      <c r="BE11">
        <v>0</v>
      </c>
      <c r="BF11">
        <v>0</v>
      </c>
      <c r="BG11">
        <v>12537.66</v>
      </c>
      <c r="BH11">
        <v>0</v>
      </c>
      <c r="BI11">
        <v>3328.04</v>
      </c>
      <c r="BJ11">
        <v>0</v>
      </c>
      <c r="BK11">
        <v>0</v>
      </c>
      <c r="BL11">
        <v>0</v>
      </c>
      <c r="BM11">
        <v>4247.8500000000004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1" x14ac:dyDescent="0.25">
      <c r="A12" t="s">
        <v>730</v>
      </c>
      <c r="B12" s="4" t="s">
        <v>731</v>
      </c>
      <c r="C12" s="4">
        <v>0</v>
      </c>
      <c r="D12" s="4">
        <v>0</v>
      </c>
      <c r="E12" s="4">
        <v>0</v>
      </c>
      <c r="F12" s="4">
        <v>0</v>
      </c>
      <c r="G12" s="4">
        <v>184444.56</v>
      </c>
      <c r="H12" s="4">
        <v>50012.59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>
        <v>0</v>
      </c>
      <c r="P12">
        <v>0</v>
      </c>
      <c r="Q12">
        <v>297472.95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4">
        <v>0</v>
      </c>
      <c r="AB12" s="4">
        <v>4884.34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6879.41</v>
      </c>
      <c r="BE12">
        <v>0</v>
      </c>
      <c r="BF12">
        <v>0</v>
      </c>
      <c r="BG12">
        <v>42209.69</v>
      </c>
      <c r="BH12">
        <v>0</v>
      </c>
      <c r="BI12">
        <v>30195.67</v>
      </c>
      <c r="BJ12">
        <v>0</v>
      </c>
      <c r="BK12">
        <v>10229.74</v>
      </c>
      <c r="BL12">
        <v>0</v>
      </c>
      <c r="BM12">
        <v>11951.89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1" x14ac:dyDescent="0.25">
      <c r="A13" t="s">
        <v>732</v>
      </c>
      <c r="B13" s="4" t="s">
        <v>733</v>
      </c>
      <c r="C13" s="4">
        <v>0</v>
      </c>
      <c r="D13" s="4">
        <v>0</v>
      </c>
      <c r="E13" s="4">
        <v>0</v>
      </c>
      <c r="F13" s="4">
        <v>4680.55</v>
      </c>
      <c r="G13" s="4">
        <v>167346.39000000001</v>
      </c>
      <c r="H13" s="4">
        <v>13664.21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>
        <v>0</v>
      </c>
      <c r="P13">
        <v>0</v>
      </c>
      <c r="Q13">
        <v>73984.89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85934.46</v>
      </c>
      <c r="Y13">
        <v>0</v>
      </c>
      <c r="Z13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29870.880000000001</v>
      </c>
      <c r="BE13">
        <v>0</v>
      </c>
      <c r="BF13">
        <v>0</v>
      </c>
      <c r="BG13">
        <v>88382.85</v>
      </c>
      <c r="BH13">
        <v>0</v>
      </c>
      <c r="BI13">
        <v>37017.93</v>
      </c>
      <c r="BJ13">
        <v>0</v>
      </c>
      <c r="BK13">
        <v>5957.07</v>
      </c>
      <c r="BL13">
        <v>0</v>
      </c>
      <c r="BM13">
        <v>835.38</v>
      </c>
      <c r="BN13">
        <v>0</v>
      </c>
      <c r="BO13">
        <v>0</v>
      </c>
      <c r="BP13">
        <v>16999.830000000002</v>
      </c>
      <c r="BQ13">
        <v>0</v>
      </c>
      <c r="BR13">
        <v>0</v>
      </c>
      <c r="BS13">
        <v>0</v>
      </c>
    </row>
    <row r="14" spans="1:71" x14ac:dyDescent="0.25">
      <c r="A14" t="s">
        <v>734</v>
      </c>
      <c r="B14" s="4" t="s">
        <v>735</v>
      </c>
      <c r="C14" s="4">
        <v>2839</v>
      </c>
      <c r="D14" s="4">
        <v>0</v>
      </c>
      <c r="E14" s="4">
        <v>0</v>
      </c>
      <c r="F14" s="4">
        <v>0</v>
      </c>
      <c r="G14" s="4">
        <v>20762.259999999998</v>
      </c>
      <c r="H14" s="4">
        <v>262592.40000000002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>
        <v>0</v>
      </c>
      <c r="P14">
        <v>0</v>
      </c>
      <c r="Q14">
        <v>10961.79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78475.429999999993</v>
      </c>
      <c r="Y14">
        <v>0</v>
      </c>
      <c r="Z1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31360.3</v>
      </c>
      <c r="BE14">
        <v>0</v>
      </c>
      <c r="BF14">
        <v>0</v>
      </c>
      <c r="BG14">
        <v>20845.57</v>
      </c>
      <c r="BH14">
        <v>0</v>
      </c>
      <c r="BI14">
        <v>2554.08</v>
      </c>
      <c r="BJ14">
        <v>0</v>
      </c>
      <c r="BK14">
        <v>2106.4899999999998</v>
      </c>
      <c r="BL14">
        <v>0</v>
      </c>
      <c r="BM14">
        <v>6609.04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</row>
    <row r="15" spans="1:71" x14ac:dyDescent="0.25">
      <c r="A15" t="s">
        <v>736</v>
      </c>
      <c r="B15" t="s">
        <v>737</v>
      </c>
      <c r="C15">
        <v>43706.97</v>
      </c>
      <c r="D15">
        <v>26871.43</v>
      </c>
      <c r="E15">
        <v>0</v>
      </c>
      <c r="F15">
        <v>0</v>
      </c>
      <c r="G15">
        <v>10634.13</v>
      </c>
      <c r="H15">
        <v>132.77000000000001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30574.67</v>
      </c>
      <c r="Y15">
        <v>0</v>
      </c>
      <c r="Z15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26518.01</v>
      </c>
      <c r="BE15">
        <v>0</v>
      </c>
      <c r="BF15">
        <v>0</v>
      </c>
      <c r="BG15">
        <v>0</v>
      </c>
      <c r="BH15">
        <v>0</v>
      </c>
      <c r="BI15">
        <v>18195.87</v>
      </c>
      <c r="BJ15">
        <v>0</v>
      </c>
      <c r="BK15">
        <v>0</v>
      </c>
      <c r="BL15">
        <v>0</v>
      </c>
      <c r="BM15">
        <v>6671.28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</row>
    <row r="16" spans="1:71" x14ac:dyDescent="0.25">
      <c r="A16" t="s">
        <v>738</v>
      </c>
      <c r="B16" t="s">
        <v>739</v>
      </c>
      <c r="C16">
        <v>414.02</v>
      </c>
      <c r="D16">
        <v>24307.21</v>
      </c>
      <c r="E16">
        <v>0</v>
      </c>
      <c r="F16">
        <v>0</v>
      </c>
      <c r="G16">
        <v>1638.1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1043.06</v>
      </c>
      <c r="R16">
        <v>0</v>
      </c>
      <c r="S16">
        <v>0</v>
      </c>
      <c r="T16">
        <v>0</v>
      </c>
      <c r="U16">
        <v>0</v>
      </c>
      <c r="V16">
        <v>4131.51</v>
      </c>
      <c r="W16">
        <v>0</v>
      </c>
      <c r="X16">
        <v>218966</v>
      </c>
      <c r="Y16">
        <v>30437</v>
      </c>
      <c r="Z16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228437.3</v>
      </c>
      <c r="AJ16" s="4">
        <v>0</v>
      </c>
      <c r="AK16" s="4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47941.760000000002</v>
      </c>
      <c r="BE16">
        <v>0</v>
      </c>
      <c r="BF16">
        <v>0</v>
      </c>
      <c r="BG16">
        <v>178421.57</v>
      </c>
      <c r="BH16">
        <v>0</v>
      </c>
      <c r="BI16">
        <v>124643.1</v>
      </c>
      <c r="BJ16">
        <v>0</v>
      </c>
      <c r="BK16">
        <v>27849.66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 t="s">
        <v>740</v>
      </c>
      <c r="B17" t="s">
        <v>741</v>
      </c>
      <c r="C17">
        <v>3633.38</v>
      </c>
      <c r="D17">
        <v>22063.09</v>
      </c>
      <c r="E17">
        <v>0</v>
      </c>
      <c r="F17">
        <v>0</v>
      </c>
      <c r="G17">
        <v>41943.49</v>
      </c>
      <c r="H17">
        <v>33091.47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249874.16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92049.02</v>
      </c>
      <c r="Y17">
        <v>5408.78</v>
      </c>
      <c r="Z17">
        <v>0</v>
      </c>
      <c r="AA17" s="4">
        <v>0</v>
      </c>
      <c r="AB17" s="4">
        <v>3362.68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2200.33</v>
      </c>
      <c r="BC17">
        <v>0</v>
      </c>
      <c r="BD17">
        <v>19005.03</v>
      </c>
      <c r="BE17">
        <v>0</v>
      </c>
      <c r="BF17">
        <v>0</v>
      </c>
      <c r="BG17">
        <v>10400.709999999999</v>
      </c>
      <c r="BH17">
        <v>0</v>
      </c>
      <c r="BI17">
        <v>0</v>
      </c>
      <c r="BJ17">
        <v>0</v>
      </c>
      <c r="BK17">
        <v>7258.67</v>
      </c>
      <c r="BL17">
        <v>0</v>
      </c>
      <c r="BM17">
        <v>5042.9399999999996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t="s">
        <v>742</v>
      </c>
      <c r="B18" t="s">
        <v>743</v>
      </c>
      <c r="C18">
        <v>0</v>
      </c>
      <c r="D18">
        <v>0</v>
      </c>
      <c r="E18">
        <v>0</v>
      </c>
      <c r="F18">
        <v>0</v>
      </c>
      <c r="G18">
        <v>0</v>
      </c>
      <c r="H18">
        <v>46162.34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81582.02</v>
      </c>
      <c r="R18">
        <v>0</v>
      </c>
      <c r="S18">
        <v>0</v>
      </c>
      <c r="T18">
        <v>0</v>
      </c>
      <c r="U18">
        <v>0</v>
      </c>
      <c r="V18">
        <v>493.55</v>
      </c>
      <c r="W18">
        <v>0</v>
      </c>
      <c r="X18">
        <v>2417.37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19474.169999999998</v>
      </c>
      <c r="BE18">
        <v>0</v>
      </c>
      <c r="BF18">
        <v>0</v>
      </c>
      <c r="BG18">
        <v>7930.91</v>
      </c>
      <c r="BH18">
        <v>0</v>
      </c>
      <c r="BI18">
        <v>1009.1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</row>
    <row r="19" spans="1:71" x14ac:dyDescent="0.25">
      <c r="A19" t="s">
        <v>744</v>
      </c>
      <c r="B19" t="s">
        <v>745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188178.23</v>
      </c>
      <c r="O19">
        <v>0</v>
      </c>
      <c r="P19">
        <v>0</v>
      </c>
      <c r="Q19">
        <v>53719.71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194.3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52842.8</v>
      </c>
      <c r="BJ19">
        <v>0</v>
      </c>
      <c r="BK19">
        <v>4603.6400000000003</v>
      </c>
      <c r="BL19">
        <v>0</v>
      </c>
      <c r="BM19">
        <v>19586.810000000001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174117.93</v>
      </c>
    </row>
    <row r="20" spans="1:71" x14ac:dyDescent="0.25">
      <c r="A20" t="s">
        <v>746</v>
      </c>
      <c r="B20" t="s">
        <v>747</v>
      </c>
      <c r="C20">
        <v>2262</v>
      </c>
      <c r="D20">
        <v>0</v>
      </c>
      <c r="E20">
        <v>0</v>
      </c>
      <c r="F20">
        <v>0</v>
      </c>
      <c r="G20">
        <v>108522.19</v>
      </c>
      <c r="H20">
        <v>72943.839999999997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71350.81</v>
      </c>
      <c r="R20">
        <v>0</v>
      </c>
      <c r="S20">
        <v>0</v>
      </c>
      <c r="T20">
        <v>0</v>
      </c>
      <c r="U20">
        <v>0</v>
      </c>
      <c r="V20">
        <v>2474.86</v>
      </c>
      <c r="W20">
        <v>0</v>
      </c>
      <c r="X20">
        <v>55707.33</v>
      </c>
      <c r="Y20">
        <v>4604</v>
      </c>
      <c r="Z20">
        <v>0</v>
      </c>
      <c r="AA20">
        <v>39363.910000000003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15160.96</v>
      </c>
      <c r="BE20">
        <v>0</v>
      </c>
      <c r="BF20">
        <v>0</v>
      </c>
      <c r="BG20">
        <v>93864.51</v>
      </c>
      <c r="BH20">
        <v>0</v>
      </c>
      <c r="BI20">
        <v>39506.75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 t="s">
        <v>748</v>
      </c>
      <c r="B21" t="s">
        <v>749</v>
      </c>
      <c r="C21">
        <v>0</v>
      </c>
      <c r="D21">
        <v>0</v>
      </c>
      <c r="E21">
        <v>0</v>
      </c>
      <c r="F21">
        <v>0</v>
      </c>
      <c r="G21">
        <v>14970.64</v>
      </c>
      <c r="H21">
        <v>36083.07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42476.88</v>
      </c>
      <c r="R21">
        <v>0</v>
      </c>
      <c r="S21">
        <v>0</v>
      </c>
      <c r="T21">
        <v>0</v>
      </c>
      <c r="U21">
        <v>0</v>
      </c>
      <c r="V21">
        <v>6313.99</v>
      </c>
      <c r="W21">
        <v>0</v>
      </c>
      <c r="X21">
        <v>77877.990000000005</v>
      </c>
      <c r="Y21">
        <v>963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4725.2700000000004</v>
      </c>
      <c r="BH21">
        <v>0</v>
      </c>
      <c r="BI21">
        <v>89722.98</v>
      </c>
      <c r="BJ21">
        <v>0</v>
      </c>
      <c r="BK21">
        <v>1764.93</v>
      </c>
      <c r="BL21">
        <v>0</v>
      </c>
      <c r="BM21">
        <v>5553.16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 t="s">
        <v>750</v>
      </c>
      <c r="B22" t="s">
        <v>751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71020.649999999994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19531.28</v>
      </c>
      <c r="Y22">
        <v>1670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20568.97</v>
      </c>
      <c r="BE22">
        <v>0</v>
      </c>
      <c r="BF22">
        <v>0</v>
      </c>
      <c r="BG22">
        <v>10641.28</v>
      </c>
      <c r="BH22">
        <v>0</v>
      </c>
      <c r="BI22">
        <v>42831.39</v>
      </c>
      <c r="BJ22">
        <v>0</v>
      </c>
      <c r="BK22">
        <v>2696.54</v>
      </c>
      <c r="BL22">
        <v>0</v>
      </c>
      <c r="BM22">
        <v>4737.1499999999996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 t="s">
        <v>752</v>
      </c>
      <c r="B23" t="s">
        <v>753</v>
      </c>
      <c r="C23">
        <v>0</v>
      </c>
      <c r="D23">
        <v>0</v>
      </c>
      <c r="E23">
        <v>0</v>
      </c>
      <c r="F23">
        <v>0</v>
      </c>
      <c r="G23">
        <v>64463.199999999997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120460.86</v>
      </c>
      <c r="R23">
        <v>0</v>
      </c>
      <c r="S23">
        <v>0</v>
      </c>
      <c r="T23">
        <v>0</v>
      </c>
      <c r="U23">
        <v>0</v>
      </c>
      <c r="V23">
        <v>1568.42</v>
      </c>
      <c r="W23">
        <v>0</v>
      </c>
      <c r="X23">
        <v>0</v>
      </c>
      <c r="Y23">
        <v>0</v>
      </c>
      <c r="Z23">
        <v>1500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61502.89</v>
      </c>
      <c r="BH23">
        <v>0</v>
      </c>
      <c r="BI23">
        <v>89722.64</v>
      </c>
      <c r="BJ23">
        <v>0</v>
      </c>
      <c r="BK23">
        <v>0</v>
      </c>
      <c r="BL23">
        <v>0</v>
      </c>
      <c r="BM23">
        <v>3398.09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</row>
    <row r="24" spans="1:71" x14ac:dyDescent="0.25">
      <c r="A24" t="s">
        <v>754</v>
      </c>
      <c r="B24" t="s">
        <v>755</v>
      </c>
      <c r="C24">
        <v>6372.99</v>
      </c>
      <c r="D24">
        <v>4428.26</v>
      </c>
      <c r="E24">
        <v>0</v>
      </c>
      <c r="F24">
        <v>0</v>
      </c>
      <c r="G24">
        <v>97301.35</v>
      </c>
      <c r="H24">
        <v>36018.76</v>
      </c>
      <c r="I24">
        <v>0</v>
      </c>
      <c r="J24">
        <v>0</v>
      </c>
      <c r="K24">
        <v>500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805.21</v>
      </c>
      <c r="W24">
        <v>0</v>
      </c>
      <c r="X24">
        <v>8385.07</v>
      </c>
      <c r="Y24">
        <v>0</v>
      </c>
      <c r="Z24">
        <v>0</v>
      </c>
      <c r="AA24">
        <v>85.44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27677.88</v>
      </c>
      <c r="BE24">
        <v>0</v>
      </c>
      <c r="BF24">
        <v>0</v>
      </c>
      <c r="BG24">
        <v>26374.84</v>
      </c>
      <c r="BH24">
        <v>0</v>
      </c>
      <c r="BI24">
        <v>8383.06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21701.65</v>
      </c>
    </row>
    <row r="25" spans="1:71" x14ac:dyDescent="0.25">
      <c r="A25" t="s">
        <v>756</v>
      </c>
      <c r="B25" t="s">
        <v>757</v>
      </c>
      <c r="C25">
        <v>2259.46</v>
      </c>
      <c r="D25">
        <v>48563.85</v>
      </c>
      <c r="E25">
        <v>0</v>
      </c>
      <c r="F25">
        <v>0</v>
      </c>
      <c r="G25">
        <v>79173.37</v>
      </c>
      <c r="H25">
        <v>36223.64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22841.45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24114.76</v>
      </c>
      <c r="BE25">
        <v>0</v>
      </c>
      <c r="BF25">
        <v>0</v>
      </c>
      <c r="BG25">
        <v>0</v>
      </c>
      <c r="BH25">
        <v>0</v>
      </c>
      <c r="BI25">
        <v>39565.11</v>
      </c>
      <c r="BJ25">
        <v>0</v>
      </c>
      <c r="BK25">
        <v>0</v>
      </c>
      <c r="BL25">
        <v>0</v>
      </c>
      <c r="BM25">
        <v>5783.18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 t="s">
        <v>758</v>
      </c>
      <c r="B26" t="s">
        <v>198</v>
      </c>
      <c r="C26">
        <v>0</v>
      </c>
      <c r="D26">
        <v>4849.45</v>
      </c>
      <c r="E26">
        <v>0</v>
      </c>
      <c r="F26">
        <v>0</v>
      </c>
      <c r="G26">
        <v>58886.9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1814.9</v>
      </c>
      <c r="W26">
        <v>0</v>
      </c>
      <c r="X26">
        <v>12873.09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23994.7</v>
      </c>
      <c r="BE26">
        <v>0</v>
      </c>
      <c r="BF26">
        <v>0</v>
      </c>
      <c r="BG26">
        <v>6355.62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 t="s">
        <v>759</v>
      </c>
      <c r="B27" t="s">
        <v>760</v>
      </c>
      <c r="C27">
        <v>0</v>
      </c>
      <c r="D27">
        <v>90109.95</v>
      </c>
      <c r="E27">
        <v>0</v>
      </c>
      <c r="F27">
        <v>0</v>
      </c>
      <c r="G27">
        <v>0</v>
      </c>
      <c r="H27">
        <v>41959.14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53900.2</v>
      </c>
      <c r="R27">
        <v>0</v>
      </c>
      <c r="S27">
        <v>0</v>
      </c>
      <c r="T27">
        <v>0</v>
      </c>
      <c r="U27">
        <v>0</v>
      </c>
      <c r="V27">
        <v>504.19</v>
      </c>
      <c r="W27">
        <v>0</v>
      </c>
      <c r="X27">
        <v>6748.17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11784.19</v>
      </c>
      <c r="BE27">
        <v>0</v>
      </c>
      <c r="BF27">
        <v>0</v>
      </c>
      <c r="BG27">
        <v>62853.46</v>
      </c>
      <c r="BH27">
        <v>0</v>
      </c>
      <c r="BI27">
        <v>25428.57</v>
      </c>
      <c r="BJ27">
        <v>0</v>
      </c>
      <c r="BK27">
        <v>0</v>
      </c>
      <c r="BL27">
        <v>0</v>
      </c>
      <c r="BM27">
        <v>4885.41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29754.89</v>
      </c>
    </row>
    <row r="28" spans="1:71" x14ac:dyDescent="0.25">
      <c r="A28" t="s">
        <v>761</v>
      </c>
      <c r="B28" t="s">
        <v>762</v>
      </c>
      <c r="C28">
        <v>0</v>
      </c>
      <c r="D28">
        <v>57237.26</v>
      </c>
      <c r="E28">
        <v>0</v>
      </c>
      <c r="F28">
        <v>0</v>
      </c>
      <c r="G28">
        <v>51047</v>
      </c>
      <c r="H28">
        <v>46539</v>
      </c>
      <c r="I28">
        <v>0</v>
      </c>
      <c r="J28">
        <v>0</v>
      </c>
      <c r="K28">
        <v>4534.8999999999996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90523.03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10471.15</v>
      </c>
      <c r="Y28">
        <v>3655.49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14954.18</v>
      </c>
      <c r="BE28">
        <v>0</v>
      </c>
      <c r="BF28">
        <v>0</v>
      </c>
      <c r="BG28">
        <v>32260.25</v>
      </c>
      <c r="BH28">
        <v>0</v>
      </c>
      <c r="BI28">
        <v>9590.36</v>
      </c>
      <c r="BJ28">
        <v>0</v>
      </c>
      <c r="BK28">
        <v>569.65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 t="s">
        <v>763</v>
      </c>
      <c r="B29" t="s">
        <v>764</v>
      </c>
      <c r="C29">
        <v>0</v>
      </c>
      <c r="D29">
        <v>0</v>
      </c>
      <c r="E29">
        <v>0</v>
      </c>
      <c r="F29">
        <v>0</v>
      </c>
      <c r="G29">
        <v>77548.39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22734.720000000001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166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20491.89</v>
      </c>
      <c r="BE29">
        <v>0</v>
      </c>
      <c r="BF29">
        <v>0</v>
      </c>
      <c r="BG29">
        <v>6758.06</v>
      </c>
      <c r="BH29">
        <v>0</v>
      </c>
      <c r="BI29">
        <v>6494.17</v>
      </c>
      <c r="BJ29">
        <v>0</v>
      </c>
      <c r="BK29">
        <v>0</v>
      </c>
      <c r="BL29">
        <v>0</v>
      </c>
      <c r="BM29">
        <v>3855.31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 t="s">
        <v>765</v>
      </c>
      <c r="B30" t="s">
        <v>599</v>
      </c>
      <c r="C30">
        <v>0</v>
      </c>
      <c r="D30">
        <v>0</v>
      </c>
      <c r="E30">
        <v>0</v>
      </c>
      <c r="F30">
        <v>17812.05</v>
      </c>
      <c r="G30">
        <v>0</v>
      </c>
      <c r="H30">
        <v>29489.7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90363.62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26188.6</v>
      </c>
      <c r="BE30">
        <v>0</v>
      </c>
      <c r="BF30">
        <v>0</v>
      </c>
      <c r="BG30">
        <v>8787.01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 t="s">
        <v>766</v>
      </c>
      <c r="B31" t="s">
        <v>767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8609.25</v>
      </c>
      <c r="R31">
        <v>0</v>
      </c>
      <c r="S31">
        <v>0</v>
      </c>
      <c r="T31">
        <v>0</v>
      </c>
      <c r="U31">
        <v>0</v>
      </c>
      <c r="V31">
        <v>7607.71</v>
      </c>
      <c r="W31">
        <v>0</v>
      </c>
      <c r="X31">
        <v>29828.09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22969.72</v>
      </c>
      <c r="BE31">
        <v>0</v>
      </c>
      <c r="BF31">
        <v>0</v>
      </c>
      <c r="BG31">
        <v>24006.44</v>
      </c>
      <c r="BH31">
        <v>0</v>
      </c>
      <c r="BI31">
        <v>1526.24</v>
      </c>
      <c r="BJ31">
        <v>0</v>
      </c>
      <c r="BK31">
        <v>0</v>
      </c>
      <c r="BL31">
        <v>0</v>
      </c>
      <c r="BM31">
        <v>7060.28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 t="s">
        <v>768</v>
      </c>
      <c r="B32" t="s">
        <v>769</v>
      </c>
      <c r="C32">
        <v>0</v>
      </c>
      <c r="D32">
        <v>0</v>
      </c>
      <c r="E32">
        <v>0</v>
      </c>
      <c r="F32">
        <v>0</v>
      </c>
      <c r="G32">
        <v>0</v>
      </c>
      <c r="H32">
        <v>197446.55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142566.60999999999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35962.21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 t="s">
        <v>770</v>
      </c>
      <c r="B33" t="s">
        <v>771</v>
      </c>
      <c r="C33">
        <v>0</v>
      </c>
      <c r="D33">
        <v>3707</v>
      </c>
      <c r="E33">
        <v>0</v>
      </c>
      <c r="F33">
        <v>0</v>
      </c>
      <c r="G33">
        <v>26007.040000000001</v>
      </c>
      <c r="H33">
        <v>19169.89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158535.63</v>
      </c>
      <c r="R33">
        <v>0</v>
      </c>
      <c r="S33">
        <v>0</v>
      </c>
      <c r="T33">
        <v>0</v>
      </c>
      <c r="U33">
        <v>0</v>
      </c>
      <c r="V33">
        <v>1042.1500000000001</v>
      </c>
      <c r="W33">
        <v>0</v>
      </c>
      <c r="X33">
        <v>7204.05</v>
      </c>
      <c r="Y33">
        <v>577.59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29254.560000000001</v>
      </c>
      <c r="BE33">
        <v>0</v>
      </c>
      <c r="BF33">
        <v>0</v>
      </c>
      <c r="BG33">
        <v>15353.49</v>
      </c>
      <c r="BH33">
        <v>0</v>
      </c>
      <c r="BI33">
        <v>32315.96</v>
      </c>
      <c r="BJ33">
        <v>0</v>
      </c>
      <c r="BK33">
        <v>0</v>
      </c>
      <c r="BL33">
        <v>0</v>
      </c>
      <c r="BM33">
        <v>1398.55</v>
      </c>
      <c r="BN33">
        <v>0</v>
      </c>
      <c r="BO33">
        <v>200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 t="s">
        <v>772</v>
      </c>
      <c r="B34" t="s">
        <v>773</v>
      </c>
      <c r="C34">
        <v>0</v>
      </c>
      <c r="D34">
        <v>0</v>
      </c>
      <c r="E34">
        <v>0</v>
      </c>
      <c r="F34">
        <v>47799.29</v>
      </c>
      <c r="G34">
        <v>5449.76</v>
      </c>
      <c r="H34">
        <v>0</v>
      </c>
      <c r="I34">
        <v>0</v>
      </c>
      <c r="J34">
        <v>0</v>
      </c>
      <c r="K34">
        <v>16131.65</v>
      </c>
      <c r="L34">
        <v>0</v>
      </c>
      <c r="M34">
        <v>0</v>
      </c>
      <c r="N34">
        <v>0</v>
      </c>
      <c r="O34">
        <v>0</v>
      </c>
      <c r="P34">
        <v>0</v>
      </c>
      <c r="Q34">
        <v>711.74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137394.84</v>
      </c>
      <c r="Y34">
        <v>0</v>
      </c>
      <c r="Z34">
        <v>0</v>
      </c>
      <c r="AA34">
        <v>7554.43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3565.46</v>
      </c>
      <c r="BE34">
        <v>0</v>
      </c>
      <c r="BF34">
        <v>0</v>
      </c>
      <c r="BG34">
        <v>20362.55</v>
      </c>
      <c r="BH34">
        <v>0</v>
      </c>
      <c r="BI34">
        <v>7335.47</v>
      </c>
      <c r="BJ34">
        <v>0</v>
      </c>
      <c r="BK34">
        <v>779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39950</v>
      </c>
    </row>
    <row r="35" spans="1:71" x14ac:dyDescent="0.25">
      <c r="A35" t="s">
        <v>774</v>
      </c>
      <c r="B35" t="s">
        <v>775</v>
      </c>
      <c r="C35">
        <v>0</v>
      </c>
      <c r="D35">
        <v>12491.6</v>
      </c>
      <c r="E35">
        <v>0</v>
      </c>
      <c r="F35">
        <v>17530.990000000002</v>
      </c>
      <c r="G35">
        <v>67512.97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924.03</v>
      </c>
      <c r="W35">
        <v>6</v>
      </c>
      <c r="X35">
        <v>0</v>
      </c>
      <c r="Y35">
        <v>0</v>
      </c>
      <c r="Z35">
        <v>0</v>
      </c>
      <c r="AA35">
        <v>16410.29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26481.71</v>
      </c>
      <c r="BE35">
        <v>0</v>
      </c>
      <c r="BF35">
        <v>0</v>
      </c>
      <c r="BG35">
        <v>5944.17</v>
      </c>
      <c r="BH35">
        <v>0</v>
      </c>
      <c r="BI35">
        <v>9630.9599999999991</v>
      </c>
      <c r="BJ35">
        <v>0</v>
      </c>
      <c r="BK35">
        <v>0</v>
      </c>
      <c r="BL35">
        <v>0</v>
      </c>
      <c r="BM35">
        <v>2331.35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 t="s">
        <v>776</v>
      </c>
      <c r="B36" t="s">
        <v>777</v>
      </c>
      <c r="C36">
        <v>15307.93</v>
      </c>
      <c r="D36">
        <v>46145.79</v>
      </c>
      <c r="E36">
        <v>0</v>
      </c>
      <c r="F36">
        <v>0</v>
      </c>
      <c r="G36">
        <v>31700.65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309832.03000000003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112122.97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40129.89</v>
      </c>
      <c r="BE36">
        <v>0</v>
      </c>
      <c r="BF36">
        <v>0</v>
      </c>
      <c r="BG36">
        <v>0</v>
      </c>
      <c r="BH36">
        <v>0</v>
      </c>
      <c r="BI36">
        <v>9499.77</v>
      </c>
      <c r="BJ36">
        <v>0</v>
      </c>
      <c r="BK36">
        <v>0</v>
      </c>
      <c r="BL36">
        <v>0</v>
      </c>
      <c r="BM36">
        <v>60911.6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</row>
    <row r="37" spans="1:71" x14ac:dyDescent="0.25">
      <c r="A37" t="s">
        <v>778</v>
      </c>
      <c r="B37" t="s">
        <v>779</v>
      </c>
      <c r="C37">
        <v>0</v>
      </c>
      <c r="D37">
        <v>32224.03</v>
      </c>
      <c r="E37">
        <v>0</v>
      </c>
      <c r="F37">
        <v>0</v>
      </c>
      <c r="G37">
        <v>202291.69</v>
      </c>
      <c r="H37">
        <v>503784.58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309671.13</v>
      </c>
      <c r="R37">
        <v>0</v>
      </c>
      <c r="S37">
        <v>0</v>
      </c>
      <c r="T37">
        <v>0</v>
      </c>
      <c r="U37">
        <v>0</v>
      </c>
      <c r="V37">
        <v>29676.87</v>
      </c>
      <c r="W37">
        <v>0</v>
      </c>
      <c r="X37">
        <v>36288.19</v>
      </c>
      <c r="Y37">
        <v>0</v>
      </c>
      <c r="Z37">
        <v>0</v>
      </c>
      <c r="AA37">
        <v>0</v>
      </c>
      <c r="AB37">
        <v>2234.73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22068.05</v>
      </c>
      <c r="BE37">
        <v>0</v>
      </c>
      <c r="BF37">
        <v>0</v>
      </c>
      <c r="BG37">
        <v>20192.009999999998</v>
      </c>
      <c r="BH37">
        <v>0</v>
      </c>
      <c r="BI37">
        <v>54802.09</v>
      </c>
      <c r="BJ37">
        <v>0</v>
      </c>
      <c r="BK37">
        <v>0</v>
      </c>
      <c r="BL37">
        <v>0</v>
      </c>
      <c r="BM37">
        <v>291022.82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t="s">
        <v>780</v>
      </c>
      <c r="B38" t="s">
        <v>781</v>
      </c>
      <c r="C38">
        <v>0</v>
      </c>
      <c r="D38">
        <v>99617.7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10606.04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1245.5999999999999</v>
      </c>
      <c r="Z38">
        <v>905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10579.56</v>
      </c>
      <c r="BE38">
        <v>0</v>
      </c>
      <c r="BF38">
        <v>0</v>
      </c>
      <c r="BG38">
        <v>36258.43</v>
      </c>
      <c r="BH38">
        <v>0</v>
      </c>
      <c r="BI38">
        <v>4155.6000000000004</v>
      </c>
      <c r="BJ38">
        <v>0</v>
      </c>
      <c r="BK38">
        <v>1328.4</v>
      </c>
      <c r="BL38">
        <v>0</v>
      </c>
      <c r="BM38">
        <v>369.09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910</v>
      </c>
    </row>
    <row r="39" spans="1:71" x14ac:dyDescent="0.25">
      <c r="A39" t="s">
        <v>782</v>
      </c>
      <c r="B39" t="s">
        <v>783</v>
      </c>
      <c r="C39">
        <v>0</v>
      </c>
      <c r="D39">
        <v>8424.56</v>
      </c>
      <c r="E39">
        <v>0</v>
      </c>
      <c r="F39">
        <v>0</v>
      </c>
      <c r="G39">
        <v>0</v>
      </c>
      <c r="H39">
        <v>21002.86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154462.01999999999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8878.3799999999992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40364.089999999997</v>
      </c>
      <c r="BE39">
        <v>0</v>
      </c>
      <c r="BF39">
        <v>0</v>
      </c>
      <c r="BG39">
        <v>96869.01</v>
      </c>
      <c r="BH39">
        <v>0</v>
      </c>
      <c r="BI39">
        <v>11710.61</v>
      </c>
      <c r="BJ39">
        <v>0</v>
      </c>
      <c r="BK39">
        <v>0</v>
      </c>
      <c r="BL39">
        <v>0</v>
      </c>
      <c r="BM39">
        <v>8692.75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 t="s">
        <v>784</v>
      </c>
      <c r="B40" t="s">
        <v>785</v>
      </c>
      <c r="C40">
        <v>0</v>
      </c>
      <c r="D40">
        <v>39998.720000000001</v>
      </c>
      <c r="E40">
        <v>0</v>
      </c>
      <c r="F40">
        <v>0</v>
      </c>
      <c r="G40">
        <v>141599.49</v>
      </c>
      <c r="H40">
        <v>130004.97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149142.19</v>
      </c>
      <c r="R40">
        <v>0</v>
      </c>
      <c r="S40">
        <v>0</v>
      </c>
      <c r="T40">
        <v>0</v>
      </c>
      <c r="U40">
        <v>0</v>
      </c>
      <c r="V40">
        <v>7239.56</v>
      </c>
      <c r="W40">
        <v>0</v>
      </c>
      <c r="X40">
        <v>15597.96</v>
      </c>
      <c r="Y40">
        <v>180.56</v>
      </c>
      <c r="Z40">
        <v>0</v>
      </c>
      <c r="AA40">
        <v>0</v>
      </c>
      <c r="AB40">
        <v>5174.04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17220.900000000001</v>
      </c>
      <c r="BE40">
        <v>0</v>
      </c>
      <c r="BF40">
        <v>0</v>
      </c>
      <c r="BG40">
        <v>35733.56</v>
      </c>
      <c r="BH40">
        <v>0</v>
      </c>
      <c r="BI40">
        <v>8535.39</v>
      </c>
      <c r="BJ40">
        <v>0</v>
      </c>
      <c r="BK40">
        <v>0</v>
      </c>
      <c r="BL40">
        <v>0</v>
      </c>
      <c r="BM40">
        <v>1039.18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 t="s">
        <v>786</v>
      </c>
      <c r="B41" t="s">
        <v>787</v>
      </c>
      <c r="C41">
        <v>83122.880000000005</v>
      </c>
      <c r="D41">
        <v>0</v>
      </c>
      <c r="E41">
        <v>0</v>
      </c>
      <c r="F41">
        <v>0</v>
      </c>
      <c r="G41">
        <v>155505.41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4365</v>
      </c>
      <c r="Z41">
        <v>0</v>
      </c>
      <c r="AA41">
        <v>0</v>
      </c>
      <c r="AB41">
        <v>834.05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33759.050000000003</v>
      </c>
      <c r="BE41">
        <v>0</v>
      </c>
      <c r="BF41">
        <v>0</v>
      </c>
      <c r="BG41">
        <v>30053.7</v>
      </c>
      <c r="BH41">
        <v>0</v>
      </c>
      <c r="BI41">
        <v>54285.919999999998</v>
      </c>
      <c r="BJ41">
        <v>0</v>
      </c>
      <c r="BK41">
        <v>26.62</v>
      </c>
      <c r="BL41">
        <v>0</v>
      </c>
      <c r="BM41">
        <v>7075.94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t="s">
        <v>788</v>
      </c>
      <c r="B42" t="s">
        <v>789</v>
      </c>
      <c r="C42">
        <v>43749.98</v>
      </c>
      <c r="D42">
        <v>1770</v>
      </c>
      <c r="E42">
        <v>0</v>
      </c>
      <c r="F42">
        <v>0</v>
      </c>
      <c r="G42">
        <v>0</v>
      </c>
      <c r="H42">
        <v>60954.1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9531.0300000000007</v>
      </c>
      <c r="R42">
        <v>0</v>
      </c>
      <c r="S42">
        <v>0</v>
      </c>
      <c r="T42">
        <v>0</v>
      </c>
      <c r="U42">
        <v>0</v>
      </c>
      <c r="V42">
        <v>785.2</v>
      </c>
      <c r="W42">
        <v>0</v>
      </c>
      <c r="X42">
        <v>25674.98</v>
      </c>
      <c r="Y42">
        <v>2155.06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19077.48</v>
      </c>
      <c r="BE42">
        <v>0</v>
      </c>
      <c r="BF42">
        <v>0</v>
      </c>
      <c r="BG42">
        <v>5124.5200000000004</v>
      </c>
      <c r="BH42">
        <v>0</v>
      </c>
      <c r="BI42">
        <v>5900.03</v>
      </c>
      <c r="BJ42">
        <v>0</v>
      </c>
      <c r="BK42">
        <v>4349.96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 t="s">
        <v>790</v>
      </c>
      <c r="B43" t="s">
        <v>791</v>
      </c>
      <c r="C43">
        <v>35523.160000000003</v>
      </c>
      <c r="D43">
        <v>29846.6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49015.27</v>
      </c>
      <c r="R43">
        <v>0</v>
      </c>
      <c r="S43">
        <v>0</v>
      </c>
      <c r="T43">
        <v>0</v>
      </c>
      <c r="U43">
        <v>0</v>
      </c>
      <c r="V43">
        <v>2354</v>
      </c>
      <c r="W43">
        <v>0</v>
      </c>
      <c r="X43">
        <v>262.57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24776.28</v>
      </c>
      <c r="BE43">
        <v>0</v>
      </c>
      <c r="BF43">
        <v>0</v>
      </c>
      <c r="BG43">
        <v>40301.019999999997</v>
      </c>
      <c r="BH43">
        <v>0</v>
      </c>
      <c r="BI43">
        <v>101858.27</v>
      </c>
      <c r="BJ43">
        <v>0</v>
      </c>
      <c r="BK43">
        <v>0</v>
      </c>
      <c r="BL43">
        <v>0</v>
      </c>
      <c r="BM43">
        <v>6688.33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8448.9699999999993</v>
      </c>
    </row>
    <row r="44" spans="1:71" x14ac:dyDescent="0.25">
      <c r="A44" t="s">
        <v>792</v>
      </c>
      <c r="B44" t="s">
        <v>793</v>
      </c>
      <c r="C44">
        <v>12586.51</v>
      </c>
      <c r="D44">
        <v>0</v>
      </c>
      <c r="E44">
        <v>0</v>
      </c>
      <c r="F44">
        <v>0</v>
      </c>
      <c r="G44">
        <v>0</v>
      </c>
      <c r="H44">
        <v>6837.57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2071.66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21179.57</v>
      </c>
      <c r="Y44">
        <v>0</v>
      </c>
      <c r="Z44">
        <v>147.18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17880.75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6134.29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 t="s">
        <v>794</v>
      </c>
      <c r="B45" t="s">
        <v>795</v>
      </c>
      <c r="C45">
        <v>0</v>
      </c>
      <c r="D45">
        <v>191106.6</v>
      </c>
      <c r="E45">
        <v>0</v>
      </c>
      <c r="F45">
        <v>119573.45</v>
      </c>
      <c r="G45">
        <v>131954.96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432692.55</v>
      </c>
      <c r="R45">
        <v>0</v>
      </c>
      <c r="S45">
        <v>0</v>
      </c>
      <c r="T45">
        <v>0</v>
      </c>
      <c r="U45">
        <v>0</v>
      </c>
      <c r="V45">
        <v>3866.72</v>
      </c>
      <c r="W45">
        <v>0</v>
      </c>
      <c r="X45">
        <v>0</v>
      </c>
      <c r="Y45">
        <v>0</v>
      </c>
      <c r="Z45">
        <v>1460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13104.29</v>
      </c>
      <c r="BE45">
        <v>0</v>
      </c>
      <c r="BF45">
        <v>0</v>
      </c>
      <c r="BG45">
        <v>292647.93</v>
      </c>
      <c r="BH45">
        <v>0</v>
      </c>
      <c r="BI45">
        <v>57326.9</v>
      </c>
      <c r="BJ45">
        <v>0</v>
      </c>
      <c r="BK45">
        <v>1043.31</v>
      </c>
      <c r="BL45">
        <v>0</v>
      </c>
      <c r="BM45">
        <v>305172.75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 t="s">
        <v>796</v>
      </c>
      <c r="B46" t="s">
        <v>235</v>
      </c>
      <c r="C46">
        <v>0</v>
      </c>
      <c r="D46">
        <v>39108.480000000003</v>
      </c>
      <c r="E46">
        <v>0</v>
      </c>
      <c r="F46">
        <v>6626.22</v>
      </c>
      <c r="G46">
        <v>0</v>
      </c>
      <c r="H46">
        <v>10922.77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74050.149999999994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15551.36</v>
      </c>
      <c r="BE46">
        <v>0</v>
      </c>
      <c r="BF46">
        <v>0</v>
      </c>
      <c r="BG46">
        <v>33661.75</v>
      </c>
      <c r="BH46">
        <v>0</v>
      </c>
      <c r="BI46">
        <v>31654.99</v>
      </c>
      <c r="BJ46">
        <v>0</v>
      </c>
      <c r="BK46">
        <v>0</v>
      </c>
      <c r="BL46">
        <v>0</v>
      </c>
      <c r="BM46">
        <v>572.52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 t="s">
        <v>797</v>
      </c>
      <c r="B47" t="s">
        <v>233</v>
      </c>
      <c r="C47">
        <v>0</v>
      </c>
      <c r="D47">
        <v>5841</v>
      </c>
      <c r="E47">
        <v>0</v>
      </c>
      <c r="F47">
        <v>0</v>
      </c>
      <c r="G47">
        <v>0</v>
      </c>
      <c r="H47">
        <v>21960.35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1476.43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16852.7</v>
      </c>
      <c r="BH47">
        <v>0</v>
      </c>
      <c r="BI47">
        <v>13941.01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 t="s">
        <v>798</v>
      </c>
      <c r="B48" t="s">
        <v>799</v>
      </c>
      <c r="C48">
        <v>0</v>
      </c>
      <c r="D48">
        <v>8569.82</v>
      </c>
      <c r="E48">
        <v>0</v>
      </c>
      <c r="F48">
        <v>7086.5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36408.79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2049.46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22748.61</v>
      </c>
      <c r="BE48">
        <v>0</v>
      </c>
      <c r="BF48">
        <v>0</v>
      </c>
      <c r="BG48">
        <v>0</v>
      </c>
      <c r="BH48">
        <v>0</v>
      </c>
      <c r="BI48">
        <v>15083.2</v>
      </c>
      <c r="BJ48">
        <v>0</v>
      </c>
      <c r="BK48">
        <v>0</v>
      </c>
      <c r="BL48">
        <v>0</v>
      </c>
      <c r="BM48">
        <v>6588.35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 t="s">
        <v>800</v>
      </c>
      <c r="B49" t="s">
        <v>801</v>
      </c>
      <c r="C49">
        <v>3863.35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34301.089999999997</v>
      </c>
      <c r="R49">
        <v>0</v>
      </c>
      <c r="S49">
        <v>0</v>
      </c>
      <c r="T49">
        <v>0</v>
      </c>
      <c r="U49">
        <v>0</v>
      </c>
      <c r="V49">
        <v>6016.94</v>
      </c>
      <c r="W49">
        <v>0</v>
      </c>
      <c r="X49">
        <v>6700.44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15627.66</v>
      </c>
      <c r="BE49">
        <v>0</v>
      </c>
      <c r="BF49">
        <v>0</v>
      </c>
      <c r="BG49">
        <v>16492.310000000001</v>
      </c>
      <c r="BH49">
        <v>0</v>
      </c>
      <c r="BI49">
        <v>11208.29</v>
      </c>
      <c r="BJ49">
        <v>0</v>
      </c>
      <c r="BK49">
        <v>0</v>
      </c>
      <c r="BL49">
        <v>0</v>
      </c>
      <c r="BM49">
        <v>4355.1000000000004</v>
      </c>
      <c r="BN49">
        <v>0</v>
      </c>
      <c r="BO49">
        <v>164.51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 t="s">
        <v>802</v>
      </c>
      <c r="B50" t="s">
        <v>803</v>
      </c>
      <c r="C50">
        <v>0</v>
      </c>
      <c r="D50">
        <v>0</v>
      </c>
      <c r="E50">
        <v>0</v>
      </c>
      <c r="F50">
        <v>0</v>
      </c>
      <c r="G50">
        <v>9120.09</v>
      </c>
      <c r="H50">
        <v>46113.38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19087.95</v>
      </c>
      <c r="R50">
        <v>0</v>
      </c>
      <c r="S50">
        <v>0</v>
      </c>
      <c r="T50">
        <v>0</v>
      </c>
      <c r="U50">
        <v>0</v>
      </c>
      <c r="V50">
        <v>3348.25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16113.68</v>
      </c>
      <c r="BE50">
        <v>0</v>
      </c>
      <c r="BF50">
        <v>0</v>
      </c>
      <c r="BG50">
        <v>27395.41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 t="s">
        <v>804</v>
      </c>
      <c r="B51" t="s">
        <v>805</v>
      </c>
      <c r="C51">
        <v>0</v>
      </c>
      <c r="D51">
        <v>105194.61</v>
      </c>
      <c r="E51">
        <v>0</v>
      </c>
      <c r="F51">
        <v>10409.61</v>
      </c>
      <c r="G51">
        <v>221738.32</v>
      </c>
      <c r="H51">
        <v>58959.89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277429.67</v>
      </c>
      <c r="R51">
        <v>0</v>
      </c>
      <c r="S51">
        <v>0</v>
      </c>
      <c r="T51">
        <v>0</v>
      </c>
      <c r="U51">
        <v>0</v>
      </c>
      <c r="V51">
        <v>13402.76</v>
      </c>
      <c r="W51">
        <v>331.03</v>
      </c>
      <c r="X51">
        <v>67907.95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24188.95</v>
      </c>
      <c r="BE51">
        <v>0</v>
      </c>
      <c r="BF51">
        <v>0</v>
      </c>
      <c r="BG51">
        <v>55718.720000000001</v>
      </c>
      <c r="BH51">
        <v>0</v>
      </c>
      <c r="BI51">
        <v>22500.19</v>
      </c>
      <c r="BJ51">
        <v>0</v>
      </c>
      <c r="BK51">
        <v>5172.3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1567.71</v>
      </c>
    </row>
    <row r="52" spans="1:71" x14ac:dyDescent="0.25">
      <c r="A52" t="s">
        <v>806</v>
      </c>
      <c r="B52" t="s">
        <v>807</v>
      </c>
      <c r="C52">
        <v>0</v>
      </c>
      <c r="D52">
        <v>30045.5</v>
      </c>
      <c r="E52">
        <v>0</v>
      </c>
      <c r="F52">
        <v>0</v>
      </c>
      <c r="G52">
        <v>221491.7</v>
      </c>
      <c r="H52">
        <v>696268.64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168579.72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100505.31</v>
      </c>
      <c r="Y52">
        <v>0</v>
      </c>
      <c r="Z52">
        <v>3000</v>
      </c>
      <c r="AA52">
        <v>0</v>
      </c>
      <c r="AB52">
        <v>12755.06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37969.89</v>
      </c>
      <c r="BE52">
        <v>0</v>
      </c>
      <c r="BF52">
        <v>0</v>
      </c>
      <c r="BG52">
        <v>513.63</v>
      </c>
      <c r="BH52">
        <v>0</v>
      </c>
      <c r="BI52">
        <v>90839.13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385468.83</v>
      </c>
    </row>
    <row r="53" spans="1:71" x14ac:dyDescent="0.25">
      <c r="A53" t="s">
        <v>808</v>
      </c>
      <c r="B53" t="s">
        <v>809</v>
      </c>
      <c r="C53">
        <v>0</v>
      </c>
      <c r="D53">
        <v>0</v>
      </c>
      <c r="E53">
        <v>0</v>
      </c>
      <c r="F53">
        <v>21363.22</v>
      </c>
      <c r="G53">
        <v>182765.17</v>
      </c>
      <c r="H53">
        <v>99917.97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47898.36</v>
      </c>
      <c r="R53">
        <v>16319.23</v>
      </c>
      <c r="S53">
        <v>0</v>
      </c>
      <c r="T53">
        <v>0</v>
      </c>
      <c r="U53">
        <v>0</v>
      </c>
      <c r="V53">
        <v>8258.1299999999992</v>
      </c>
      <c r="W53">
        <v>0</v>
      </c>
      <c r="X53">
        <v>28376.86</v>
      </c>
      <c r="Y53">
        <v>0</v>
      </c>
      <c r="Z53">
        <v>0</v>
      </c>
      <c r="AA53">
        <v>102854.73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64021.74</v>
      </c>
      <c r="BE53">
        <v>0</v>
      </c>
      <c r="BF53">
        <v>0</v>
      </c>
      <c r="BG53">
        <v>144314.14000000001</v>
      </c>
      <c r="BH53">
        <v>0</v>
      </c>
      <c r="BI53">
        <v>58932.46</v>
      </c>
      <c r="BJ53">
        <v>0</v>
      </c>
      <c r="BK53">
        <v>15261.46</v>
      </c>
      <c r="BL53">
        <v>0</v>
      </c>
      <c r="BM53">
        <v>14645.82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 t="s">
        <v>810</v>
      </c>
      <c r="B54" t="s">
        <v>811</v>
      </c>
      <c r="C54">
        <v>0</v>
      </c>
      <c r="D54">
        <v>0</v>
      </c>
      <c r="E54">
        <v>0</v>
      </c>
      <c r="F54">
        <v>138506.53</v>
      </c>
      <c r="G54">
        <v>491107.42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528703.98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5600.26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500</v>
      </c>
      <c r="AZ54">
        <v>0</v>
      </c>
      <c r="BA54">
        <v>0</v>
      </c>
      <c r="BB54">
        <v>0</v>
      </c>
      <c r="BC54">
        <v>0</v>
      </c>
      <c r="BD54">
        <v>171092.96</v>
      </c>
      <c r="BE54">
        <v>0</v>
      </c>
      <c r="BF54">
        <v>0</v>
      </c>
      <c r="BG54">
        <v>47869.48</v>
      </c>
      <c r="BH54">
        <v>0</v>
      </c>
      <c r="BI54">
        <v>32842.949999999997</v>
      </c>
      <c r="BJ54">
        <v>0</v>
      </c>
      <c r="BK54">
        <v>65023.4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2741944.64</v>
      </c>
    </row>
    <row r="55" spans="1:71" x14ac:dyDescent="0.25">
      <c r="A55" t="s">
        <v>812</v>
      </c>
      <c r="B55" t="s">
        <v>813</v>
      </c>
      <c r="C55">
        <v>0</v>
      </c>
      <c r="D55">
        <v>1103.8</v>
      </c>
      <c r="E55">
        <v>0</v>
      </c>
      <c r="F55">
        <v>0</v>
      </c>
      <c r="G55">
        <v>187382.99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122826.74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4625.47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25066.17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 t="s">
        <v>814</v>
      </c>
      <c r="B56" t="s">
        <v>815</v>
      </c>
      <c r="C56">
        <v>22370.82</v>
      </c>
      <c r="D56">
        <v>0</v>
      </c>
      <c r="E56">
        <v>0</v>
      </c>
      <c r="F56">
        <v>0</v>
      </c>
      <c r="G56">
        <v>10.27</v>
      </c>
      <c r="H56">
        <v>63183.78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245292.62</v>
      </c>
      <c r="R56">
        <v>0</v>
      </c>
      <c r="S56">
        <v>0</v>
      </c>
      <c r="T56">
        <v>0</v>
      </c>
      <c r="U56">
        <v>0</v>
      </c>
      <c r="V56">
        <v>1836.39</v>
      </c>
      <c r="W56">
        <v>0</v>
      </c>
      <c r="X56">
        <v>76859.02</v>
      </c>
      <c r="Y56">
        <v>0</v>
      </c>
      <c r="Z56">
        <v>0</v>
      </c>
      <c r="AA56">
        <v>0.01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40736.07</v>
      </c>
      <c r="BE56">
        <v>0</v>
      </c>
      <c r="BF56">
        <v>0</v>
      </c>
      <c r="BG56">
        <v>164092.78</v>
      </c>
      <c r="BH56">
        <v>0</v>
      </c>
      <c r="BI56">
        <v>53131.27</v>
      </c>
      <c r="BJ56">
        <v>0</v>
      </c>
      <c r="BK56">
        <v>0</v>
      </c>
      <c r="BL56">
        <v>0</v>
      </c>
      <c r="BM56">
        <v>8691.75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 t="s">
        <v>816</v>
      </c>
      <c r="B57" t="s">
        <v>817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45037.15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14447.41</v>
      </c>
      <c r="BE57">
        <v>0</v>
      </c>
      <c r="BF57">
        <v>0</v>
      </c>
      <c r="BG57">
        <v>61472.09</v>
      </c>
      <c r="BH57">
        <v>0</v>
      </c>
      <c r="BI57">
        <v>27927.17</v>
      </c>
      <c r="BJ57">
        <v>0</v>
      </c>
      <c r="BK57">
        <v>0</v>
      </c>
      <c r="BL57">
        <v>0</v>
      </c>
      <c r="BM57">
        <v>1228.3499999999999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 t="s">
        <v>818</v>
      </c>
      <c r="B58" t="s">
        <v>819</v>
      </c>
      <c r="C58">
        <v>1401</v>
      </c>
      <c r="D58">
        <v>0</v>
      </c>
      <c r="E58">
        <v>0</v>
      </c>
      <c r="F58">
        <v>0</v>
      </c>
      <c r="G58">
        <v>0</v>
      </c>
      <c r="H58">
        <v>70000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48275.29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22578.2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16634.82</v>
      </c>
      <c r="BE58">
        <v>0</v>
      </c>
      <c r="BF58">
        <v>0</v>
      </c>
      <c r="BG58">
        <v>16587.939999999999</v>
      </c>
      <c r="BH58">
        <v>0</v>
      </c>
      <c r="BI58">
        <v>24063.23</v>
      </c>
      <c r="BJ58">
        <v>0</v>
      </c>
      <c r="BK58">
        <v>0</v>
      </c>
      <c r="BL58">
        <v>0</v>
      </c>
      <c r="BM58">
        <v>4939.78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 t="s">
        <v>820</v>
      </c>
      <c r="B59" t="s">
        <v>821</v>
      </c>
      <c r="C59">
        <v>0</v>
      </c>
      <c r="D59">
        <v>0</v>
      </c>
      <c r="E59">
        <v>0</v>
      </c>
      <c r="F59">
        <v>0</v>
      </c>
      <c r="G59">
        <v>0</v>
      </c>
      <c r="H59">
        <v>2911.58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5690.27</v>
      </c>
      <c r="Y59">
        <v>0</v>
      </c>
      <c r="Z59">
        <v>1000</v>
      </c>
      <c r="AA59">
        <v>0</v>
      </c>
      <c r="AB59">
        <v>1124.95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35315.370000000003</v>
      </c>
      <c r="BE59">
        <v>0</v>
      </c>
      <c r="BF59">
        <v>0</v>
      </c>
      <c r="BG59">
        <v>23298.23</v>
      </c>
      <c r="BH59">
        <v>0</v>
      </c>
      <c r="BI59">
        <v>1790.23</v>
      </c>
      <c r="BJ59">
        <v>0</v>
      </c>
      <c r="BK59">
        <v>0</v>
      </c>
      <c r="BL59">
        <v>0</v>
      </c>
      <c r="BM59">
        <v>3513.12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 t="s">
        <v>822</v>
      </c>
      <c r="B60" t="s">
        <v>823</v>
      </c>
      <c r="C60">
        <v>0</v>
      </c>
      <c r="D60">
        <v>0</v>
      </c>
      <c r="E60">
        <v>0</v>
      </c>
      <c r="F60">
        <v>0</v>
      </c>
      <c r="G60">
        <v>20036.91</v>
      </c>
      <c r="H60">
        <v>17333.7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212576.3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3570.73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10489.08</v>
      </c>
      <c r="BE60">
        <v>0</v>
      </c>
      <c r="BF60">
        <v>0</v>
      </c>
      <c r="BG60">
        <v>3879.23</v>
      </c>
      <c r="BH60">
        <v>0</v>
      </c>
      <c r="BI60">
        <v>256.32</v>
      </c>
      <c r="BJ60">
        <v>0</v>
      </c>
      <c r="BK60">
        <v>0</v>
      </c>
      <c r="BL60">
        <v>0</v>
      </c>
      <c r="BM60">
        <v>5549.12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t="s">
        <v>824</v>
      </c>
      <c r="B61" t="s">
        <v>825</v>
      </c>
      <c r="C61">
        <v>0</v>
      </c>
      <c r="D61">
        <v>15611.71</v>
      </c>
      <c r="E61">
        <v>0</v>
      </c>
      <c r="F61">
        <v>0</v>
      </c>
      <c r="G61">
        <v>194759.67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15.33</v>
      </c>
      <c r="W61">
        <v>0</v>
      </c>
      <c r="X61">
        <v>33107.019999999997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30155.51</v>
      </c>
      <c r="BE61">
        <v>0</v>
      </c>
      <c r="BF61">
        <v>0</v>
      </c>
      <c r="BG61">
        <v>7999.59</v>
      </c>
      <c r="BH61">
        <v>0</v>
      </c>
      <c r="BI61">
        <v>17916.14</v>
      </c>
      <c r="BJ61">
        <v>0</v>
      </c>
      <c r="BK61">
        <v>0</v>
      </c>
      <c r="BL61">
        <v>0</v>
      </c>
      <c r="BM61">
        <v>7495.75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t="s">
        <v>826</v>
      </c>
      <c r="B62" t="s">
        <v>827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180868.76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158.53</v>
      </c>
      <c r="Y62">
        <v>0</v>
      </c>
      <c r="Z62">
        <v>0</v>
      </c>
      <c r="AA62">
        <v>14124.27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26270.45</v>
      </c>
      <c r="BE62">
        <v>0</v>
      </c>
      <c r="BF62">
        <v>0</v>
      </c>
      <c r="BG62">
        <v>29640.93</v>
      </c>
      <c r="BH62">
        <v>0</v>
      </c>
      <c r="BI62">
        <v>14741.32</v>
      </c>
      <c r="BJ62">
        <v>0</v>
      </c>
      <c r="BK62">
        <v>0</v>
      </c>
      <c r="BL62">
        <v>0</v>
      </c>
      <c r="BM62">
        <v>4141.99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t="s">
        <v>828</v>
      </c>
      <c r="B63" t="s">
        <v>829</v>
      </c>
      <c r="C63">
        <v>37828.36</v>
      </c>
      <c r="D63">
        <v>0</v>
      </c>
      <c r="E63">
        <v>0</v>
      </c>
      <c r="F63">
        <v>0</v>
      </c>
      <c r="G63">
        <v>69175.89</v>
      </c>
      <c r="H63">
        <v>4872.87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168424.15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78468.259999999995</v>
      </c>
      <c r="Y63">
        <v>6991.72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32761.35</v>
      </c>
      <c r="BE63">
        <v>0</v>
      </c>
      <c r="BF63">
        <v>0</v>
      </c>
      <c r="BG63">
        <v>84285.84</v>
      </c>
      <c r="BH63">
        <v>0</v>
      </c>
      <c r="BI63">
        <v>43452.22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t="s">
        <v>649</v>
      </c>
      <c r="B64" t="s">
        <v>830</v>
      </c>
      <c r="C64">
        <v>0</v>
      </c>
      <c r="D64">
        <v>110549.69</v>
      </c>
      <c r="E64">
        <v>0</v>
      </c>
      <c r="F64">
        <v>0</v>
      </c>
      <c r="G64">
        <v>132686.95000000001</v>
      </c>
      <c r="H64">
        <v>48189.07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34180.99</v>
      </c>
      <c r="R64">
        <v>0</v>
      </c>
      <c r="S64">
        <v>0</v>
      </c>
      <c r="T64">
        <v>0</v>
      </c>
      <c r="U64">
        <v>0</v>
      </c>
      <c r="V64">
        <v>400.7</v>
      </c>
      <c r="W64">
        <v>0</v>
      </c>
      <c r="X64">
        <v>856.46</v>
      </c>
      <c r="Y64">
        <v>0</v>
      </c>
      <c r="Z64">
        <v>0</v>
      </c>
      <c r="AA64">
        <v>0</v>
      </c>
      <c r="AB64">
        <v>1311.35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37804.629999999997</v>
      </c>
      <c r="BE64">
        <v>0</v>
      </c>
      <c r="BF64">
        <v>0</v>
      </c>
      <c r="BG64">
        <v>113410.14</v>
      </c>
      <c r="BH64">
        <v>0</v>
      </c>
      <c r="BI64">
        <v>53126.68</v>
      </c>
      <c r="BJ64">
        <v>0</v>
      </c>
      <c r="BK64">
        <v>10149.93</v>
      </c>
      <c r="BL64">
        <v>0</v>
      </c>
      <c r="BM64">
        <v>9265.7800000000007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t="s">
        <v>831</v>
      </c>
      <c r="B65" t="s">
        <v>832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341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2730.17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t="s">
        <v>833</v>
      </c>
      <c r="B66" t="s">
        <v>834</v>
      </c>
      <c r="C66">
        <v>12320.79</v>
      </c>
      <c r="D66">
        <v>0</v>
      </c>
      <c r="E66">
        <v>0</v>
      </c>
      <c r="F66">
        <v>0</v>
      </c>
      <c r="G66">
        <v>18223.71</v>
      </c>
      <c r="H66">
        <v>10040.83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99029.86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3998.75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238.78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6263.52</v>
      </c>
      <c r="BE66">
        <v>0</v>
      </c>
      <c r="BF66">
        <v>0</v>
      </c>
      <c r="BG66">
        <v>23218.62</v>
      </c>
      <c r="BH66">
        <v>0</v>
      </c>
      <c r="BI66">
        <v>11414.55</v>
      </c>
      <c r="BJ66">
        <v>0</v>
      </c>
      <c r="BK66">
        <v>7551.46</v>
      </c>
      <c r="BL66">
        <v>0</v>
      </c>
      <c r="BM66">
        <v>4702.8999999999996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t="s">
        <v>835</v>
      </c>
      <c r="B67" t="s">
        <v>836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39448.629999999997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8592.2900000000009</v>
      </c>
      <c r="BE67">
        <v>0</v>
      </c>
      <c r="BF67">
        <v>0</v>
      </c>
      <c r="BG67">
        <v>12059.92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199.81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t="s">
        <v>837</v>
      </c>
      <c r="B68" t="s">
        <v>838</v>
      </c>
      <c r="C68">
        <v>0</v>
      </c>
      <c r="D68">
        <v>8861.81</v>
      </c>
      <c r="E68">
        <v>0</v>
      </c>
      <c r="F68">
        <v>21067.4</v>
      </c>
      <c r="G68">
        <v>299481.09000000003</v>
      </c>
      <c r="H68">
        <v>54419.76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352.04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13785.89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48350.01</v>
      </c>
      <c r="BE68">
        <v>0</v>
      </c>
      <c r="BF68">
        <v>0</v>
      </c>
      <c r="BG68">
        <v>2089.96</v>
      </c>
      <c r="BH68">
        <v>0</v>
      </c>
      <c r="BI68">
        <v>118827.47</v>
      </c>
      <c r="BJ68">
        <v>0</v>
      </c>
      <c r="BK68">
        <v>1004.01</v>
      </c>
      <c r="BL68">
        <v>0</v>
      </c>
      <c r="BM68">
        <v>11996.79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t="s">
        <v>839</v>
      </c>
      <c r="B69" t="s">
        <v>840</v>
      </c>
      <c r="C69">
        <v>0</v>
      </c>
      <c r="D69">
        <v>4669.18</v>
      </c>
      <c r="E69">
        <v>0</v>
      </c>
      <c r="F69">
        <v>0</v>
      </c>
      <c r="G69">
        <v>74728.649999999994</v>
      </c>
      <c r="H69">
        <v>0</v>
      </c>
      <c r="I69">
        <v>0</v>
      </c>
      <c r="J69">
        <v>0</v>
      </c>
      <c r="K69">
        <v>16061.35</v>
      </c>
      <c r="L69">
        <v>0</v>
      </c>
      <c r="M69">
        <v>0</v>
      </c>
      <c r="N69">
        <v>0</v>
      </c>
      <c r="O69">
        <v>0</v>
      </c>
      <c r="P69">
        <v>0</v>
      </c>
      <c r="Q69">
        <v>57840.7</v>
      </c>
      <c r="R69">
        <v>0</v>
      </c>
      <c r="S69">
        <v>0</v>
      </c>
      <c r="T69">
        <v>0</v>
      </c>
      <c r="U69">
        <v>0</v>
      </c>
      <c r="V69">
        <v>3535.48</v>
      </c>
      <c r="W69">
        <v>0</v>
      </c>
      <c r="X69">
        <v>10467.57</v>
      </c>
      <c r="Y69">
        <v>0</v>
      </c>
      <c r="Z69">
        <v>0</v>
      </c>
      <c r="AA69">
        <v>0</v>
      </c>
      <c r="AB69">
        <v>0</v>
      </c>
      <c r="AC69">
        <v>0</v>
      </c>
      <c r="AD69">
        <v>2767.37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166.38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225.74</v>
      </c>
      <c r="AZ69">
        <v>0</v>
      </c>
      <c r="BA69">
        <v>0</v>
      </c>
      <c r="BB69">
        <v>0</v>
      </c>
      <c r="BC69">
        <v>0</v>
      </c>
      <c r="BD69">
        <v>43999.63</v>
      </c>
      <c r="BE69">
        <v>0</v>
      </c>
      <c r="BF69">
        <v>0</v>
      </c>
      <c r="BG69">
        <v>44096.97</v>
      </c>
      <c r="BH69">
        <v>0</v>
      </c>
      <c r="BI69">
        <v>67932.33</v>
      </c>
      <c r="BJ69">
        <v>0</v>
      </c>
      <c r="BK69">
        <v>1101.71</v>
      </c>
      <c r="BL69">
        <v>0</v>
      </c>
      <c r="BM69">
        <v>3992.37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21189.62</v>
      </c>
    </row>
    <row r="70" spans="1:71" x14ac:dyDescent="0.25">
      <c r="A70" t="s">
        <v>841</v>
      </c>
      <c r="B70" t="s">
        <v>842</v>
      </c>
      <c r="C70">
        <v>0</v>
      </c>
      <c r="D70">
        <v>0</v>
      </c>
      <c r="E70">
        <v>0</v>
      </c>
      <c r="F70">
        <v>0</v>
      </c>
      <c r="G70">
        <v>19256.95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26288.03</v>
      </c>
      <c r="BE70">
        <v>0</v>
      </c>
      <c r="BF70">
        <v>0</v>
      </c>
      <c r="BG70">
        <v>8138.05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6260.81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2579.31</v>
      </c>
    </row>
    <row r="71" spans="1:71" x14ac:dyDescent="0.25">
      <c r="A71" t="s">
        <v>843</v>
      </c>
      <c r="B71" t="s">
        <v>844</v>
      </c>
      <c r="C71">
        <v>0</v>
      </c>
      <c r="D71">
        <v>3253.94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9623.5300000000007</v>
      </c>
      <c r="R71">
        <v>0</v>
      </c>
      <c r="S71">
        <v>0</v>
      </c>
      <c r="T71">
        <v>0</v>
      </c>
      <c r="U71">
        <v>0</v>
      </c>
      <c r="V71">
        <v>2023.59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7042.16</v>
      </c>
      <c r="BE71">
        <v>0</v>
      </c>
      <c r="BF71">
        <v>0</v>
      </c>
      <c r="BG71">
        <v>3167.32</v>
      </c>
      <c r="BH71">
        <v>0</v>
      </c>
      <c r="BI71">
        <v>8667.44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t="s">
        <v>845</v>
      </c>
      <c r="B72" t="s">
        <v>846</v>
      </c>
      <c r="C72">
        <v>5818.97</v>
      </c>
      <c r="D72">
        <v>23992.06</v>
      </c>
      <c r="E72">
        <v>0</v>
      </c>
      <c r="F72">
        <v>0</v>
      </c>
      <c r="G72">
        <v>126736.97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293802.92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82022.19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46652.22</v>
      </c>
      <c r="BE72">
        <v>0</v>
      </c>
      <c r="BF72">
        <v>0</v>
      </c>
      <c r="BG72">
        <v>92800.03</v>
      </c>
      <c r="BH72">
        <v>0</v>
      </c>
      <c r="BI72">
        <v>2077.3000000000002</v>
      </c>
      <c r="BJ72">
        <v>0</v>
      </c>
      <c r="BK72">
        <v>0</v>
      </c>
      <c r="BL72">
        <v>0</v>
      </c>
      <c r="BM72">
        <v>5272.79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t="s">
        <v>847</v>
      </c>
      <c r="B73" t="s">
        <v>848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31136.16</v>
      </c>
      <c r="BE73">
        <v>0</v>
      </c>
      <c r="BF73">
        <v>0</v>
      </c>
      <c r="BG73">
        <v>39072.879999999997</v>
      </c>
      <c r="BH73">
        <v>0</v>
      </c>
      <c r="BI73">
        <v>45879.81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t="s">
        <v>849</v>
      </c>
      <c r="B74" t="s">
        <v>850</v>
      </c>
      <c r="C74">
        <v>0</v>
      </c>
      <c r="D74">
        <v>0</v>
      </c>
      <c r="E74">
        <v>0</v>
      </c>
      <c r="F74">
        <v>7946.81</v>
      </c>
      <c r="G74">
        <v>23116.85</v>
      </c>
      <c r="H74">
        <v>76864.990000000005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15894.98</v>
      </c>
      <c r="R74">
        <v>0</v>
      </c>
      <c r="S74">
        <v>0</v>
      </c>
      <c r="T74">
        <v>0</v>
      </c>
      <c r="U74">
        <v>0</v>
      </c>
      <c r="V74">
        <v>18748.830000000002</v>
      </c>
      <c r="W74">
        <v>0</v>
      </c>
      <c r="X74">
        <v>117463.81</v>
      </c>
      <c r="Y74">
        <v>26704.05</v>
      </c>
      <c r="Z74">
        <v>1275</v>
      </c>
      <c r="AA74">
        <v>0</v>
      </c>
      <c r="AB74">
        <v>1012.72</v>
      </c>
      <c r="AC74">
        <v>0</v>
      </c>
      <c r="AD74">
        <v>801.36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2091.69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4562.32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75654.53</v>
      </c>
      <c r="BE74">
        <v>0</v>
      </c>
      <c r="BF74">
        <v>0</v>
      </c>
      <c r="BG74">
        <v>64904.2</v>
      </c>
      <c r="BH74">
        <v>0</v>
      </c>
      <c r="BI74">
        <v>52788.25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t="s">
        <v>851</v>
      </c>
      <c r="B75" t="s">
        <v>852</v>
      </c>
      <c r="C75">
        <v>0</v>
      </c>
      <c r="D75">
        <v>0</v>
      </c>
      <c r="E75">
        <v>0</v>
      </c>
      <c r="F75">
        <v>27192.37</v>
      </c>
      <c r="G75">
        <v>39100.400000000001</v>
      </c>
      <c r="H75">
        <v>22501.919999999998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192516.46</v>
      </c>
      <c r="R75">
        <v>0</v>
      </c>
      <c r="S75">
        <v>0</v>
      </c>
      <c r="T75">
        <v>0</v>
      </c>
      <c r="U75">
        <v>0</v>
      </c>
      <c r="V75">
        <v>2557.94</v>
      </c>
      <c r="W75">
        <v>0</v>
      </c>
      <c r="X75">
        <v>1</v>
      </c>
      <c r="Y75">
        <v>0</v>
      </c>
      <c r="Z75">
        <v>0</v>
      </c>
      <c r="AA75">
        <v>0.6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33940.870000000003</v>
      </c>
      <c r="BE75">
        <v>0</v>
      </c>
      <c r="BF75">
        <v>0</v>
      </c>
      <c r="BG75">
        <v>51039.1</v>
      </c>
      <c r="BH75">
        <v>0</v>
      </c>
      <c r="BI75">
        <v>83525.13</v>
      </c>
      <c r="BJ75">
        <v>0</v>
      </c>
      <c r="BK75">
        <v>563.29999999999995</v>
      </c>
      <c r="BL75">
        <v>0</v>
      </c>
      <c r="BM75">
        <v>2127.35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t="s">
        <v>853</v>
      </c>
      <c r="B76" t="s">
        <v>854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82033.649999999994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86872.5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19920.2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4779.59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8140.69</v>
      </c>
    </row>
    <row r="77" spans="1:71" x14ac:dyDescent="0.25">
      <c r="A77" t="s">
        <v>855</v>
      </c>
      <c r="B77" t="s">
        <v>856</v>
      </c>
      <c r="C77">
        <v>0</v>
      </c>
      <c r="D77">
        <v>45176.18</v>
      </c>
      <c r="E77">
        <v>0</v>
      </c>
      <c r="F77">
        <v>24325.93</v>
      </c>
      <c r="G77">
        <v>0</v>
      </c>
      <c r="H77">
        <v>94365.54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46139.68</v>
      </c>
      <c r="R77">
        <v>0</v>
      </c>
      <c r="S77">
        <v>0</v>
      </c>
      <c r="T77">
        <v>0</v>
      </c>
      <c r="U77">
        <v>0</v>
      </c>
      <c r="V77">
        <v>2203.66</v>
      </c>
      <c r="W77">
        <v>0</v>
      </c>
      <c r="X77">
        <v>13333.86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25215.97</v>
      </c>
      <c r="BE77">
        <v>0</v>
      </c>
      <c r="BF77">
        <v>0</v>
      </c>
      <c r="BG77">
        <v>37068.21</v>
      </c>
      <c r="BH77">
        <v>12010.95</v>
      </c>
      <c r="BI77">
        <v>53428.54</v>
      </c>
      <c r="BJ77">
        <v>0</v>
      </c>
      <c r="BK77">
        <v>0</v>
      </c>
      <c r="BL77">
        <v>0</v>
      </c>
      <c r="BM77">
        <v>5753.7</v>
      </c>
      <c r="BN77">
        <v>7118.1</v>
      </c>
      <c r="BO77">
        <v>358.87</v>
      </c>
      <c r="BP77">
        <v>0</v>
      </c>
      <c r="BQ77">
        <v>0</v>
      </c>
      <c r="BR77">
        <v>0</v>
      </c>
      <c r="BS77">
        <v>540.82000000000005</v>
      </c>
    </row>
    <row r="78" spans="1:71" x14ac:dyDescent="0.25">
      <c r="A78" t="s">
        <v>857</v>
      </c>
      <c r="B78" t="s">
        <v>858</v>
      </c>
      <c r="C78">
        <v>0</v>
      </c>
      <c r="D78">
        <v>4726.9399999999996</v>
      </c>
      <c r="E78">
        <v>0</v>
      </c>
      <c r="F78">
        <v>0</v>
      </c>
      <c r="G78">
        <v>1676.18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1488.42</v>
      </c>
      <c r="W78">
        <v>0</v>
      </c>
      <c r="X78">
        <v>8019.7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9619.7199999999993</v>
      </c>
      <c r="BE78">
        <v>0</v>
      </c>
      <c r="BF78">
        <v>0</v>
      </c>
      <c r="BG78">
        <v>0</v>
      </c>
      <c r="BH78">
        <v>0</v>
      </c>
      <c r="BI78">
        <v>2501.4699999999998</v>
      </c>
      <c r="BJ78">
        <v>0</v>
      </c>
      <c r="BK78">
        <v>0</v>
      </c>
      <c r="BL78">
        <v>0</v>
      </c>
      <c r="BM78">
        <v>9457.1299999999992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t="s">
        <v>859</v>
      </c>
      <c r="B79" t="s">
        <v>860</v>
      </c>
      <c r="C79">
        <v>46832.75</v>
      </c>
      <c r="D79">
        <v>0</v>
      </c>
      <c r="E79">
        <v>0</v>
      </c>
      <c r="F79">
        <v>20436.45</v>
      </c>
      <c r="G79">
        <v>69893.13</v>
      </c>
      <c r="H79">
        <v>96754.65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3102.68</v>
      </c>
      <c r="R79">
        <v>0</v>
      </c>
      <c r="S79">
        <v>0</v>
      </c>
      <c r="T79">
        <v>0</v>
      </c>
      <c r="U79">
        <v>0</v>
      </c>
      <c r="V79">
        <v>7382.7</v>
      </c>
      <c r="W79">
        <v>0</v>
      </c>
      <c r="X79">
        <v>79829.13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28865.97</v>
      </c>
      <c r="BE79">
        <v>0</v>
      </c>
      <c r="BF79">
        <v>0</v>
      </c>
      <c r="BG79">
        <v>0</v>
      </c>
      <c r="BH79">
        <v>0</v>
      </c>
      <c r="BI79">
        <v>37480.69</v>
      </c>
      <c r="BJ79">
        <v>0</v>
      </c>
      <c r="BK79">
        <v>0</v>
      </c>
      <c r="BL79">
        <v>0</v>
      </c>
      <c r="BM79">
        <v>1780.61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t="s">
        <v>861</v>
      </c>
      <c r="B80" t="s">
        <v>862</v>
      </c>
      <c r="C80">
        <v>0</v>
      </c>
      <c r="D80">
        <v>0</v>
      </c>
      <c r="E80">
        <v>0</v>
      </c>
      <c r="F80">
        <v>0</v>
      </c>
      <c r="G80">
        <v>9043.0499999999993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74529.94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38089.53</v>
      </c>
      <c r="Y80">
        <v>0</v>
      </c>
      <c r="Z80">
        <v>0</v>
      </c>
      <c r="AA80">
        <v>7068.91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15184.35</v>
      </c>
      <c r="BE80">
        <v>0</v>
      </c>
      <c r="BF80">
        <v>0</v>
      </c>
      <c r="BG80">
        <v>1230.56</v>
      </c>
      <c r="BH80">
        <v>0</v>
      </c>
      <c r="BI80">
        <v>5797.96</v>
      </c>
      <c r="BJ80">
        <v>0</v>
      </c>
      <c r="BK80">
        <v>0</v>
      </c>
      <c r="BL80">
        <v>0</v>
      </c>
      <c r="BM80">
        <v>5997.62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t="s">
        <v>863</v>
      </c>
      <c r="B81" t="s">
        <v>864</v>
      </c>
      <c r="C81">
        <v>0</v>
      </c>
      <c r="D81">
        <v>29416.54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102960.95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27557.87</v>
      </c>
      <c r="Y81">
        <v>0</v>
      </c>
      <c r="Z81">
        <v>0</v>
      </c>
      <c r="AA81">
        <v>0</v>
      </c>
      <c r="AB81">
        <v>0</v>
      </c>
      <c r="AC81">
        <v>0</v>
      </c>
      <c r="AD81">
        <v>9825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12138.02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34412.769999999997</v>
      </c>
      <c r="BH81">
        <v>0</v>
      </c>
      <c r="BI81">
        <v>3373.99</v>
      </c>
      <c r="BJ81">
        <v>0</v>
      </c>
      <c r="BK81">
        <v>0</v>
      </c>
      <c r="BL81">
        <v>0</v>
      </c>
      <c r="BM81">
        <v>6494.31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t="s">
        <v>865</v>
      </c>
      <c r="B82" t="s">
        <v>866</v>
      </c>
      <c r="C82">
        <v>0</v>
      </c>
      <c r="D82">
        <v>0</v>
      </c>
      <c r="E82">
        <v>0</v>
      </c>
      <c r="F82">
        <v>1459</v>
      </c>
      <c r="G82">
        <v>0</v>
      </c>
      <c r="H82">
        <v>47036.83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2748.76</v>
      </c>
      <c r="Y82">
        <v>134.74</v>
      </c>
      <c r="Z82">
        <v>0</v>
      </c>
      <c r="AA82">
        <v>19181.099999999999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25271.49</v>
      </c>
      <c r="BE82">
        <v>0</v>
      </c>
      <c r="BF82">
        <v>0</v>
      </c>
      <c r="BG82">
        <v>22964.75</v>
      </c>
      <c r="BH82">
        <v>226.06</v>
      </c>
      <c r="BI82">
        <v>46713.68</v>
      </c>
      <c r="BJ82">
        <v>0</v>
      </c>
      <c r="BK82">
        <v>0</v>
      </c>
      <c r="BL82">
        <v>0</v>
      </c>
      <c r="BM82">
        <v>5305.65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t="s">
        <v>867</v>
      </c>
      <c r="B83" t="s">
        <v>868</v>
      </c>
      <c r="C83">
        <v>22591.43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595911.64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151422.39999999999</v>
      </c>
      <c r="Y83">
        <v>0</v>
      </c>
      <c r="Z83">
        <v>0</v>
      </c>
      <c r="AA83">
        <v>126954.19</v>
      </c>
      <c r="AB83">
        <v>0</v>
      </c>
      <c r="AC83">
        <v>26579.17</v>
      </c>
      <c r="AD83">
        <v>0</v>
      </c>
      <c r="AE83">
        <v>0</v>
      </c>
      <c r="AF83">
        <v>0</v>
      </c>
      <c r="AG83">
        <v>90735.27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68553.440000000002</v>
      </c>
      <c r="BE83">
        <v>0</v>
      </c>
      <c r="BF83">
        <v>0</v>
      </c>
      <c r="BG83">
        <v>161599.07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3282175.6</v>
      </c>
    </row>
    <row r="84" spans="1:71" x14ac:dyDescent="0.25">
      <c r="A84" t="s">
        <v>869</v>
      </c>
      <c r="B84" t="s">
        <v>870</v>
      </c>
      <c r="C84">
        <v>0</v>
      </c>
      <c r="D84">
        <v>0</v>
      </c>
      <c r="E84">
        <v>0</v>
      </c>
      <c r="F84">
        <v>0</v>
      </c>
      <c r="G84">
        <v>248324.75</v>
      </c>
      <c r="H84">
        <v>3001</v>
      </c>
      <c r="I84">
        <v>0</v>
      </c>
      <c r="J84">
        <v>0</v>
      </c>
      <c r="K84">
        <v>45495.79</v>
      </c>
      <c r="L84">
        <v>0</v>
      </c>
      <c r="M84">
        <v>0</v>
      </c>
      <c r="N84">
        <v>0</v>
      </c>
      <c r="O84">
        <v>0</v>
      </c>
      <c r="P84">
        <v>0</v>
      </c>
      <c r="Q84">
        <v>5768.7</v>
      </c>
      <c r="R84">
        <v>0</v>
      </c>
      <c r="S84">
        <v>0</v>
      </c>
      <c r="T84">
        <v>0</v>
      </c>
      <c r="U84">
        <v>0</v>
      </c>
      <c r="V84">
        <v>15722.85</v>
      </c>
      <c r="W84">
        <v>0</v>
      </c>
      <c r="X84">
        <v>12714.73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6723.31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t="s">
        <v>871</v>
      </c>
      <c r="B85" t="s">
        <v>872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31126.69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44534.57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t="s">
        <v>873</v>
      </c>
      <c r="B86" t="s">
        <v>874</v>
      </c>
      <c r="C86">
        <v>0</v>
      </c>
      <c r="D86">
        <v>0</v>
      </c>
      <c r="E86">
        <v>0</v>
      </c>
      <c r="F86">
        <v>0</v>
      </c>
      <c r="G86">
        <v>70478.97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55305.120000000003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11454.82</v>
      </c>
      <c r="BH86">
        <v>0</v>
      </c>
      <c r="BI86">
        <v>9780.6299999999992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t="s">
        <v>875</v>
      </c>
      <c r="B87" t="s">
        <v>876</v>
      </c>
      <c r="C87">
        <v>0</v>
      </c>
      <c r="D87">
        <v>380221.97</v>
      </c>
      <c r="E87">
        <v>0</v>
      </c>
      <c r="F87">
        <v>0</v>
      </c>
      <c r="G87">
        <v>46460.02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739475.58</v>
      </c>
      <c r="R87">
        <v>0</v>
      </c>
      <c r="S87">
        <v>0</v>
      </c>
      <c r="T87">
        <v>0</v>
      </c>
      <c r="U87">
        <v>0</v>
      </c>
      <c r="V87">
        <v>28047.34</v>
      </c>
      <c r="W87">
        <v>0</v>
      </c>
      <c r="X87">
        <v>379091.81</v>
      </c>
      <c r="Y87">
        <v>0</v>
      </c>
      <c r="Z87">
        <v>2799.47</v>
      </c>
      <c r="AA87">
        <v>0</v>
      </c>
      <c r="AB87">
        <v>1737.28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3859.55</v>
      </c>
      <c r="BE87">
        <v>0</v>
      </c>
      <c r="BF87">
        <v>0</v>
      </c>
      <c r="BG87">
        <v>317490.46999999997</v>
      </c>
      <c r="BH87">
        <v>0</v>
      </c>
      <c r="BI87">
        <v>540196</v>
      </c>
      <c r="BJ87">
        <v>0</v>
      </c>
      <c r="BK87">
        <v>946.24</v>
      </c>
      <c r="BL87">
        <v>0</v>
      </c>
      <c r="BM87">
        <v>1112799.2</v>
      </c>
      <c r="BN87">
        <v>0</v>
      </c>
      <c r="BO87">
        <v>17378.57</v>
      </c>
      <c r="BP87">
        <v>0</v>
      </c>
      <c r="BQ87">
        <v>0</v>
      </c>
      <c r="BR87">
        <v>0</v>
      </c>
      <c r="BS87">
        <v>329303.51</v>
      </c>
    </row>
    <row r="88" spans="1:71" x14ac:dyDescent="0.25">
      <c r="A88" t="s">
        <v>877</v>
      </c>
      <c r="B88" t="s">
        <v>878</v>
      </c>
      <c r="C88">
        <v>0</v>
      </c>
      <c r="D88">
        <v>32997.040000000001</v>
      </c>
      <c r="E88">
        <v>0</v>
      </c>
      <c r="F88">
        <v>0</v>
      </c>
      <c r="G88">
        <v>116113.66</v>
      </c>
      <c r="H88">
        <v>63064.85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8633.07</v>
      </c>
      <c r="R88">
        <v>0</v>
      </c>
      <c r="S88">
        <v>0</v>
      </c>
      <c r="T88">
        <v>0</v>
      </c>
      <c r="U88">
        <v>0</v>
      </c>
      <c r="V88">
        <v>2152.33</v>
      </c>
      <c r="W88">
        <v>0</v>
      </c>
      <c r="X88">
        <v>16591.810000000001</v>
      </c>
      <c r="Y88">
        <v>0</v>
      </c>
      <c r="Z88">
        <v>0</v>
      </c>
      <c r="AA88">
        <v>3632.78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10924.97</v>
      </c>
      <c r="BE88">
        <v>0</v>
      </c>
      <c r="BF88">
        <v>0</v>
      </c>
      <c r="BG88">
        <v>28706.39</v>
      </c>
      <c r="BH88">
        <v>0</v>
      </c>
      <c r="BI88">
        <v>38963.93</v>
      </c>
      <c r="BJ88">
        <v>0</v>
      </c>
      <c r="BK88">
        <v>0</v>
      </c>
      <c r="BL88">
        <v>0</v>
      </c>
      <c r="BM88">
        <v>1206.68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18.59</v>
      </c>
    </row>
    <row r="89" spans="1:71" x14ac:dyDescent="0.25">
      <c r="A89" t="s">
        <v>879</v>
      </c>
      <c r="B89" t="s">
        <v>880</v>
      </c>
      <c r="C89">
        <v>0</v>
      </c>
      <c r="D89">
        <v>56247.08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22715.07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72283.899999999994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4800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22765.85</v>
      </c>
      <c r="BE89">
        <v>0</v>
      </c>
      <c r="BF89">
        <v>0</v>
      </c>
      <c r="BG89">
        <v>251.71</v>
      </c>
      <c r="BH89">
        <v>0</v>
      </c>
      <c r="BI89">
        <v>0</v>
      </c>
      <c r="BJ89">
        <v>0</v>
      </c>
      <c r="BK89">
        <v>4067.15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t="s">
        <v>881</v>
      </c>
      <c r="B90" t="s">
        <v>882</v>
      </c>
      <c r="C90">
        <v>0</v>
      </c>
      <c r="D90">
        <v>0</v>
      </c>
      <c r="E90">
        <v>0</v>
      </c>
      <c r="F90">
        <v>0</v>
      </c>
      <c r="G90">
        <v>74130.69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8741.6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11166.65</v>
      </c>
      <c r="BE90">
        <v>0</v>
      </c>
      <c r="BF90">
        <v>0</v>
      </c>
      <c r="BG90">
        <v>0</v>
      </c>
      <c r="BH90">
        <v>0</v>
      </c>
      <c r="BI90">
        <v>2905.24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11046.71</v>
      </c>
    </row>
    <row r="91" spans="1:71" x14ac:dyDescent="0.25">
      <c r="A91" t="s">
        <v>883</v>
      </c>
      <c r="B91" t="s">
        <v>884</v>
      </c>
      <c r="C91">
        <v>65650.16</v>
      </c>
      <c r="D91">
        <v>0</v>
      </c>
      <c r="E91">
        <v>0</v>
      </c>
      <c r="F91">
        <v>0</v>
      </c>
      <c r="G91">
        <v>175980.46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96357.07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515.14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57866.38</v>
      </c>
      <c r="BE91">
        <v>70951.22</v>
      </c>
      <c r="BF91">
        <v>0</v>
      </c>
      <c r="BG91">
        <v>0</v>
      </c>
      <c r="BH91">
        <v>0</v>
      </c>
      <c r="BI91">
        <v>6371.71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4100.8100000000004</v>
      </c>
    </row>
    <row r="92" spans="1:71" x14ac:dyDescent="0.25">
      <c r="A92" t="s">
        <v>885</v>
      </c>
      <c r="B92" t="s">
        <v>886</v>
      </c>
      <c r="C92">
        <v>0</v>
      </c>
      <c r="D92">
        <v>0</v>
      </c>
      <c r="E92">
        <v>0</v>
      </c>
      <c r="F92">
        <v>0</v>
      </c>
      <c r="G92">
        <v>41469.01</v>
      </c>
      <c r="H92">
        <v>74549.7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1902.31</v>
      </c>
      <c r="W92">
        <v>0</v>
      </c>
      <c r="X92">
        <v>14202.4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31138.22</v>
      </c>
      <c r="BE92">
        <v>0</v>
      </c>
      <c r="BF92">
        <v>0</v>
      </c>
      <c r="BG92">
        <v>38640.410000000003</v>
      </c>
      <c r="BH92">
        <v>0</v>
      </c>
      <c r="BI92">
        <v>39159.089999999997</v>
      </c>
      <c r="BJ92">
        <v>0</v>
      </c>
      <c r="BK92">
        <v>0</v>
      </c>
      <c r="BL92">
        <v>0</v>
      </c>
      <c r="BM92">
        <v>6690.36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t="s">
        <v>887</v>
      </c>
      <c r="B93" t="s">
        <v>888</v>
      </c>
      <c r="C93">
        <v>0</v>
      </c>
      <c r="D93">
        <v>0</v>
      </c>
      <c r="E93">
        <v>0</v>
      </c>
      <c r="F93">
        <v>0</v>
      </c>
      <c r="G93">
        <v>2832524.95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123805.79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78156.509999999995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3584051.65</v>
      </c>
      <c r="AQ93">
        <v>0</v>
      </c>
      <c r="AR93">
        <v>0</v>
      </c>
      <c r="AS93">
        <v>0</v>
      </c>
      <c r="AT93">
        <v>3189.76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383879.7</v>
      </c>
      <c r="BE93">
        <v>175316.61</v>
      </c>
      <c r="BF93">
        <v>0</v>
      </c>
      <c r="BG93">
        <v>2961823.46</v>
      </c>
      <c r="BH93">
        <v>0</v>
      </c>
      <c r="BI93">
        <v>320168.26</v>
      </c>
      <c r="BJ93">
        <v>0</v>
      </c>
      <c r="BK93">
        <v>0</v>
      </c>
      <c r="BL93">
        <v>0</v>
      </c>
      <c r="BM93">
        <v>70784.039999999994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40268.300000000003</v>
      </c>
    </row>
    <row r="94" spans="1:71" x14ac:dyDescent="0.25">
      <c r="A94" t="s">
        <v>889</v>
      </c>
      <c r="B94" t="s">
        <v>890</v>
      </c>
      <c r="C94">
        <v>0</v>
      </c>
      <c r="D94">
        <v>0</v>
      </c>
      <c r="E94">
        <v>0</v>
      </c>
      <c r="F94">
        <v>3305.25</v>
      </c>
      <c r="G94">
        <v>56339.199999999997</v>
      </c>
      <c r="H94">
        <v>0</v>
      </c>
      <c r="I94">
        <v>0</v>
      </c>
      <c r="J94">
        <v>0</v>
      </c>
      <c r="K94">
        <v>77658.25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86.13</v>
      </c>
      <c r="W94">
        <v>0</v>
      </c>
      <c r="X94">
        <v>16876.71</v>
      </c>
      <c r="Y94">
        <v>1024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23151.3</v>
      </c>
      <c r="BE94">
        <v>0</v>
      </c>
      <c r="BF94">
        <v>0</v>
      </c>
      <c r="BG94">
        <v>146.88</v>
      </c>
      <c r="BH94">
        <v>0</v>
      </c>
      <c r="BI94">
        <v>8662.4599999999991</v>
      </c>
      <c r="BJ94">
        <v>0</v>
      </c>
      <c r="BK94">
        <v>986.14</v>
      </c>
      <c r="BL94">
        <v>0</v>
      </c>
      <c r="BM94">
        <v>6211.15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t="s">
        <v>891</v>
      </c>
      <c r="B95" t="s">
        <v>892</v>
      </c>
      <c r="C95">
        <v>0</v>
      </c>
      <c r="D95">
        <v>7060</v>
      </c>
      <c r="E95">
        <v>0</v>
      </c>
      <c r="F95">
        <v>23440.19</v>
      </c>
      <c r="G95">
        <v>227268.5</v>
      </c>
      <c r="H95">
        <v>11597.23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11476.96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75296.25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32357.06</v>
      </c>
      <c r="BE95">
        <v>0</v>
      </c>
      <c r="BF95">
        <v>0</v>
      </c>
      <c r="BG95">
        <v>72192.89</v>
      </c>
      <c r="BH95">
        <v>0</v>
      </c>
      <c r="BI95">
        <v>9831.86</v>
      </c>
      <c r="BJ95">
        <v>0</v>
      </c>
      <c r="BK95">
        <v>2068.94</v>
      </c>
      <c r="BL95">
        <v>0</v>
      </c>
      <c r="BM95">
        <v>1535.99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t="s">
        <v>893</v>
      </c>
      <c r="B96" t="s">
        <v>894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76443.33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292008.19</v>
      </c>
      <c r="Y96">
        <v>0</v>
      </c>
      <c r="Z96">
        <v>0</v>
      </c>
      <c r="AA96">
        <v>0</v>
      </c>
      <c r="AB96">
        <v>16501.53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7903.01</v>
      </c>
      <c r="BE96">
        <v>0</v>
      </c>
      <c r="BF96">
        <v>0</v>
      </c>
      <c r="BG96">
        <v>515403.49</v>
      </c>
      <c r="BH96">
        <v>0</v>
      </c>
      <c r="BI96">
        <v>382064.9</v>
      </c>
      <c r="BJ96">
        <v>0</v>
      </c>
      <c r="BK96">
        <v>34619.54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t="s">
        <v>895</v>
      </c>
      <c r="B97" t="s">
        <v>896</v>
      </c>
      <c r="C97">
        <v>2695</v>
      </c>
      <c r="D97">
        <v>4876.3999999999996</v>
      </c>
      <c r="E97">
        <v>0</v>
      </c>
      <c r="F97">
        <v>38020.269999999997</v>
      </c>
      <c r="G97">
        <v>35330.43</v>
      </c>
      <c r="H97">
        <v>40383.58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11191.2</v>
      </c>
      <c r="W97">
        <v>0</v>
      </c>
      <c r="X97">
        <v>24906.97</v>
      </c>
      <c r="Y97">
        <v>3667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6958.41</v>
      </c>
      <c r="BE97">
        <v>0</v>
      </c>
      <c r="BF97">
        <v>0</v>
      </c>
      <c r="BG97">
        <v>185.76</v>
      </c>
      <c r="BH97">
        <v>0</v>
      </c>
      <c r="BI97">
        <v>21512.33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t="s">
        <v>897</v>
      </c>
      <c r="B98" t="s">
        <v>898</v>
      </c>
      <c r="C98">
        <v>0</v>
      </c>
      <c r="D98">
        <v>0</v>
      </c>
      <c r="E98">
        <v>0</v>
      </c>
      <c r="F98">
        <v>2568.04</v>
      </c>
      <c r="G98">
        <v>11181.6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86093.06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12492.06</v>
      </c>
      <c r="BE98">
        <v>0</v>
      </c>
      <c r="BF98">
        <v>0</v>
      </c>
      <c r="BG98">
        <v>34956.58</v>
      </c>
      <c r="BH98">
        <v>0</v>
      </c>
      <c r="BI98">
        <v>3573.43</v>
      </c>
      <c r="BJ98">
        <v>0</v>
      </c>
      <c r="BK98">
        <v>179.91</v>
      </c>
      <c r="BL98">
        <v>0</v>
      </c>
      <c r="BM98">
        <v>5862.53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</row>
    <row r="99" spans="1:71" x14ac:dyDescent="0.25">
      <c r="A99" t="s">
        <v>899</v>
      </c>
      <c r="B99" t="s">
        <v>900</v>
      </c>
      <c r="C99">
        <v>0</v>
      </c>
      <c r="D99">
        <v>0</v>
      </c>
      <c r="E99">
        <v>0</v>
      </c>
      <c r="F99">
        <v>0</v>
      </c>
      <c r="G99">
        <v>21954.53</v>
      </c>
      <c r="H99">
        <v>72551.199999999997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401.32</v>
      </c>
      <c r="W99">
        <v>0</v>
      </c>
      <c r="X99">
        <v>1564.65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6783.53</v>
      </c>
      <c r="BE99">
        <v>0</v>
      </c>
      <c r="BF99">
        <v>0</v>
      </c>
      <c r="BG99">
        <v>12240.91</v>
      </c>
      <c r="BH99">
        <v>0</v>
      </c>
      <c r="BI99">
        <v>39083.22</v>
      </c>
      <c r="BJ99">
        <v>0</v>
      </c>
      <c r="BK99">
        <v>0</v>
      </c>
      <c r="BL99">
        <v>0</v>
      </c>
      <c r="BM99">
        <v>923.31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</row>
    <row r="100" spans="1:71" x14ac:dyDescent="0.25">
      <c r="A100" t="s">
        <v>901</v>
      </c>
      <c r="B100" t="s">
        <v>902</v>
      </c>
      <c r="C100">
        <v>166067.84</v>
      </c>
      <c r="D100">
        <v>37985.46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85548.45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28585.42</v>
      </c>
      <c r="BE100">
        <v>0</v>
      </c>
      <c r="BF100">
        <v>0</v>
      </c>
      <c r="BG100">
        <v>0</v>
      </c>
      <c r="BH100">
        <v>0</v>
      </c>
      <c r="BI100">
        <v>47743.46</v>
      </c>
      <c r="BJ100">
        <v>0</v>
      </c>
      <c r="BK100">
        <v>0</v>
      </c>
      <c r="BL100">
        <v>0</v>
      </c>
      <c r="BM100">
        <v>7201.71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18926.05</v>
      </c>
    </row>
    <row r="101" spans="1:71" x14ac:dyDescent="0.25">
      <c r="A101" t="s">
        <v>903</v>
      </c>
      <c r="B101" t="s">
        <v>904</v>
      </c>
      <c r="C101">
        <v>0</v>
      </c>
      <c r="D101">
        <v>0</v>
      </c>
      <c r="E101">
        <v>0</v>
      </c>
      <c r="F101">
        <v>5280.75</v>
      </c>
      <c r="G101">
        <v>0</v>
      </c>
      <c r="H101">
        <v>15098.04</v>
      </c>
      <c r="I101">
        <v>0</v>
      </c>
      <c r="J101">
        <v>2332.4699999999998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46819.67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9089.2000000000007</v>
      </c>
      <c r="BE101">
        <v>0</v>
      </c>
      <c r="BF101">
        <v>0</v>
      </c>
      <c r="BG101">
        <v>16376.28</v>
      </c>
      <c r="BH101">
        <v>0</v>
      </c>
      <c r="BI101">
        <v>6284.59</v>
      </c>
      <c r="BJ101">
        <v>0</v>
      </c>
      <c r="BK101">
        <v>0</v>
      </c>
      <c r="BL101">
        <v>0</v>
      </c>
      <c r="BM101">
        <v>7613.02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65</v>
      </c>
    </row>
    <row r="102" spans="1:71" x14ac:dyDescent="0.25">
      <c r="A102" t="s">
        <v>905</v>
      </c>
      <c r="B102" t="s">
        <v>906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23871.7</v>
      </c>
      <c r="BE102">
        <v>0</v>
      </c>
      <c r="BF102">
        <v>0</v>
      </c>
      <c r="BG102">
        <v>0</v>
      </c>
      <c r="BH102">
        <v>0</v>
      </c>
      <c r="BI102">
        <v>8330.85</v>
      </c>
      <c r="BJ102">
        <v>0</v>
      </c>
      <c r="BK102">
        <v>0</v>
      </c>
      <c r="BL102">
        <v>0</v>
      </c>
      <c r="BM102">
        <v>2786.35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</row>
    <row r="103" spans="1:71" x14ac:dyDescent="0.25">
      <c r="A103" t="s">
        <v>907</v>
      </c>
      <c r="B103" t="s">
        <v>908</v>
      </c>
      <c r="C103">
        <v>0</v>
      </c>
      <c r="D103">
        <v>0</v>
      </c>
      <c r="E103">
        <v>0</v>
      </c>
      <c r="F103">
        <v>0</v>
      </c>
      <c r="G103">
        <v>59126.9</v>
      </c>
      <c r="H103">
        <v>28842.69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859.95</v>
      </c>
      <c r="W103">
        <v>0</v>
      </c>
      <c r="X103">
        <v>207237.74</v>
      </c>
      <c r="Y103">
        <v>4856.5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18867.990000000002</v>
      </c>
      <c r="BE103">
        <v>0</v>
      </c>
      <c r="BF103">
        <v>0</v>
      </c>
      <c r="BG103">
        <v>44230.9</v>
      </c>
      <c r="BH103">
        <v>0</v>
      </c>
      <c r="BI103">
        <v>45443.32</v>
      </c>
      <c r="BJ103">
        <v>0</v>
      </c>
      <c r="BK103">
        <v>3010.54</v>
      </c>
      <c r="BL103">
        <v>0</v>
      </c>
      <c r="BM103">
        <v>4548.87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</row>
    <row r="104" spans="1:71" x14ac:dyDescent="0.25">
      <c r="A104" t="s">
        <v>909</v>
      </c>
      <c r="B104" t="s">
        <v>910</v>
      </c>
      <c r="C104">
        <v>0</v>
      </c>
      <c r="D104">
        <v>46527.16</v>
      </c>
      <c r="E104">
        <v>0</v>
      </c>
      <c r="F104">
        <v>0</v>
      </c>
      <c r="G104">
        <v>0</v>
      </c>
      <c r="H104">
        <v>40191.81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120822.54</v>
      </c>
      <c r="R104">
        <v>0</v>
      </c>
      <c r="S104">
        <v>0</v>
      </c>
      <c r="T104">
        <v>0</v>
      </c>
      <c r="U104">
        <v>0</v>
      </c>
      <c r="V104">
        <v>3623.4</v>
      </c>
      <c r="W104">
        <v>0</v>
      </c>
      <c r="X104">
        <v>98.14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13704.82</v>
      </c>
      <c r="BE104">
        <v>0</v>
      </c>
      <c r="BF104">
        <v>0</v>
      </c>
      <c r="BG104">
        <v>7405.08</v>
      </c>
      <c r="BH104">
        <v>0</v>
      </c>
      <c r="BI104">
        <v>4298.91</v>
      </c>
      <c r="BJ104">
        <v>0</v>
      </c>
      <c r="BK104">
        <v>3757.16</v>
      </c>
      <c r="BL104">
        <v>0</v>
      </c>
      <c r="BM104">
        <v>68643.850000000006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</row>
    <row r="105" spans="1:71" x14ac:dyDescent="0.25">
      <c r="A105" t="s">
        <v>911</v>
      </c>
      <c r="B105" t="s">
        <v>912</v>
      </c>
      <c r="C105">
        <v>6498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856.99</v>
      </c>
      <c r="R105">
        <v>0</v>
      </c>
      <c r="S105">
        <v>0</v>
      </c>
      <c r="T105">
        <v>0</v>
      </c>
      <c r="U105">
        <v>0</v>
      </c>
      <c r="V105">
        <v>829.28</v>
      </c>
      <c r="W105">
        <v>0</v>
      </c>
      <c r="X105">
        <v>40642.370000000003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20118.79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309.95</v>
      </c>
      <c r="BL105">
        <v>0</v>
      </c>
      <c r="BM105">
        <v>0</v>
      </c>
      <c r="BN105">
        <v>2653.81</v>
      </c>
      <c r="BO105">
        <v>0</v>
      </c>
      <c r="BP105">
        <v>0</v>
      </c>
      <c r="BQ105">
        <v>0</v>
      </c>
      <c r="BR105">
        <v>0</v>
      </c>
      <c r="BS105">
        <v>0</v>
      </c>
    </row>
    <row r="106" spans="1:71" x14ac:dyDescent="0.25">
      <c r="A106" t="s">
        <v>913</v>
      </c>
      <c r="B106" t="s">
        <v>914</v>
      </c>
      <c r="C106">
        <v>1401</v>
      </c>
      <c r="D106">
        <v>0</v>
      </c>
      <c r="E106">
        <v>0</v>
      </c>
      <c r="F106">
        <v>0</v>
      </c>
      <c r="G106">
        <v>32785.339999999997</v>
      </c>
      <c r="H106">
        <v>66533.84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67482.28</v>
      </c>
      <c r="R106">
        <v>0</v>
      </c>
      <c r="S106">
        <v>0</v>
      </c>
      <c r="T106">
        <v>0</v>
      </c>
      <c r="U106">
        <v>0</v>
      </c>
      <c r="V106">
        <v>5445.13</v>
      </c>
      <c r="W106">
        <v>0</v>
      </c>
      <c r="X106">
        <v>3998.89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25934.78</v>
      </c>
      <c r="BE106">
        <v>0</v>
      </c>
      <c r="BF106">
        <v>0</v>
      </c>
      <c r="BG106">
        <v>12551.92</v>
      </c>
      <c r="BH106">
        <v>0</v>
      </c>
      <c r="BI106">
        <v>24995.45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</row>
    <row r="107" spans="1:71" x14ac:dyDescent="0.25">
      <c r="A107" t="s">
        <v>915</v>
      </c>
      <c r="B107" t="s">
        <v>916</v>
      </c>
      <c r="C107">
        <v>2195.27</v>
      </c>
      <c r="D107">
        <v>32421.96</v>
      </c>
      <c r="E107">
        <v>0</v>
      </c>
      <c r="F107">
        <v>57152.1</v>
      </c>
      <c r="G107">
        <v>16515.169999999998</v>
      </c>
      <c r="H107">
        <v>65840.2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57185.21</v>
      </c>
      <c r="R107">
        <v>0</v>
      </c>
      <c r="S107">
        <v>0</v>
      </c>
      <c r="T107">
        <v>0</v>
      </c>
      <c r="U107">
        <v>0</v>
      </c>
      <c r="V107">
        <v>1438.42</v>
      </c>
      <c r="W107">
        <v>0</v>
      </c>
      <c r="X107">
        <v>8849.7999999999993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21086.44</v>
      </c>
      <c r="BE107">
        <v>0</v>
      </c>
      <c r="BF107">
        <v>0</v>
      </c>
      <c r="BG107">
        <v>16069.01</v>
      </c>
      <c r="BH107">
        <v>0</v>
      </c>
      <c r="BI107">
        <v>8571.8700000000008</v>
      </c>
      <c r="BJ107">
        <v>0</v>
      </c>
      <c r="BK107">
        <v>1646.58</v>
      </c>
      <c r="BL107">
        <v>0</v>
      </c>
      <c r="BM107">
        <v>3276.01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</row>
    <row r="108" spans="1:71" x14ac:dyDescent="0.25">
      <c r="A108" t="s">
        <v>917</v>
      </c>
      <c r="B108" t="s">
        <v>918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137224.66</v>
      </c>
      <c r="R108">
        <v>0</v>
      </c>
      <c r="S108">
        <v>0</v>
      </c>
      <c r="T108">
        <v>0</v>
      </c>
      <c r="U108">
        <v>0</v>
      </c>
      <c r="V108">
        <v>738.1</v>
      </c>
      <c r="W108">
        <v>0</v>
      </c>
      <c r="X108">
        <v>1251.28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30199.919999999998</v>
      </c>
      <c r="BE108">
        <v>0</v>
      </c>
      <c r="BF108">
        <v>0</v>
      </c>
      <c r="BG108">
        <v>4349.3900000000003</v>
      </c>
      <c r="BH108">
        <v>0</v>
      </c>
      <c r="BI108">
        <v>419.03</v>
      </c>
      <c r="BJ108">
        <v>0</v>
      </c>
      <c r="BK108">
        <v>69.83</v>
      </c>
      <c r="BL108">
        <v>0</v>
      </c>
      <c r="BM108">
        <v>3880.8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</row>
    <row r="109" spans="1:71" x14ac:dyDescent="0.25">
      <c r="A109" t="s">
        <v>919</v>
      </c>
      <c r="B109" t="s">
        <v>920</v>
      </c>
      <c r="C109">
        <v>0</v>
      </c>
      <c r="D109">
        <v>232896.37</v>
      </c>
      <c r="E109">
        <v>0</v>
      </c>
      <c r="F109">
        <v>0</v>
      </c>
      <c r="G109">
        <v>33399.89</v>
      </c>
      <c r="H109">
        <v>110.75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59564.800000000003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11216.29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19106.93</v>
      </c>
      <c r="BE109">
        <v>0</v>
      </c>
      <c r="BF109">
        <v>0</v>
      </c>
      <c r="BG109">
        <v>2084.2800000000002</v>
      </c>
      <c r="BH109">
        <v>0</v>
      </c>
      <c r="BI109">
        <v>13708.43</v>
      </c>
      <c r="BJ109">
        <v>0</v>
      </c>
      <c r="BK109">
        <v>0</v>
      </c>
      <c r="BL109">
        <v>0</v>
      </c>
      <c r="BM109">
        <v>4601.97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</row>
    <row r="110" spans="1:71" x14ac:dyDescent="0.25">
      <c r="A110" t="s">
        <v>921</v>
      </c>
      <c r="B110" t="s">
        <v>922</v>
      </c>
      <c r="C110">
        <v>10566.76</v>
      </c>
      <c r="D110">
        <v>0</v>
      </c>
      <c r="E110">
        <v>0</v>
      </c>
      <c r="F110">
        <v>6737.54</v>
      </c>
      <c r="G110">
        <v>36382.79</v>
      </c>
      <c r="H110">
        <v>66189.679999999993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52196.58</v>
      </c>
      <c r="R110">
        <v>0</v>
      </c>
      <c r="S110">
        <v>0</v>
      </c>
      <c r="T110">
        <v>0</v>
      </c>
      <c r="U110">
        <v>0</v>
      </c>
      <c r="V110">
        <v>1452.14</v>
      </c>
      <c r="W110">
        <v>0</v>
      </c>
      <c r="X110">
        <v>706.46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4943.28</v>
      </c>
      <c r="BE110">
        <v>0</v>
      </c>
      <c r="BF110">
        <v>0</v>
      </c>
      <c r="BG110">
        <v>0</v>
      </c>
      <c r="BH110">
        <v>0</v>
      </c>
      <c r="BI110">
        <v>5746.68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</row>
    <row r="111" spans="1:71" x14ac:dyDescent="0.25">
      <c r="A111" t="s">
        <v>923</v>
      </c>
      <c r="B111" t="s">
        <v>924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22032.240000000002</v>
      </c>
      <c r="BE111">
        <v>0</v>
      </c>
      <c r="BF111">
        <v>0</v>
      </c>
      <c r="BG111">
        <v>14102.69</v>
      </c>
      <c r="BH111">
        <v>0</v>
      </c>
      <c r="BI111">
        <v>10545.29</v>
      </c>
      <c r="BJ111">
        <v>0</v>
      </c>
      <c r="BK111">
        <v>0</v>
      </c>
      <c r="BL111">
        <v>0</v>
      </c>
      <c r="BM111">
        <v>4038.66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</row>
    <row r="112" spans="1:71" x14ac:dyDescent="0.25">
      <c r="A112" t="s">
        <v>925</v>
      </c>
      <c r="B112" t="s">
        <v>926</v>
      </c>
      <c r="C112">
        <v>0</v>
      </c>
      <c r="D112">
        <v>0</v>
      </c>
      <c r="E112">
        <v>0</v>
      </c>
      <c r="F112">
        <v>0</v>
      </c>
      <c r="G112">
        <v>13484.79</v>
      </c>
      <c r="H112">
        <v>9327.61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4695.5</v>
      </c>
      <c r="R112">
        <v>0</v>
      </c>
      <c r="S112">
        <v>0</v>
      </c>
      <c r="T112">
        <v>0</v>
      </c>
      <c r="U112">
        <v>0</v>
      </c>
      <c r="V112">
        <v>311.58</v>
      </c>
      <c r="W112">
        <v>0</v>
      </c>
      <c r="X112">
        <v>36.74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24630.25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5418.45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</row>
    <row r="113" spans="1:71" x14ac:dyDescent="0.25">
      <c r="A113" t="s">
        <v>927</v>
      </c>
      <c r="B113" t="s">
        <v>928</v>
      </c>
      <c r="C113">
        <v>681.86</v>
      </c>
      <c r="D113">
        <v>0</v>
      </c>
      <c r="E113">
        <v>0</v>
      </c>
      <c r="F113">
        <v>5624.52</v>
      </c>
      <c r="G113">
        <v>277117.07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23042.26</v>
      </c>
      <c r="R113">
        <v>0</v>
      </c>
      <c r="S113">
        <v>0</v>
      </c>
      <c r="T113">
        <v>0</v>
      </c>
      <c r="U113">
        <v>0</v>
      </c>
      <c r="V113">
        <v>459.33</v>
      </c>
      <c r="W113">
        <v>0</v>
      </c>
      <c r="X113">
        <v>103324.49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20745.400000000001</v>
      </c>
      <c r="BE113">
        <v>0</v>
      </c>
      <c r="BF113">
        <v>0</v>
      </c>
      <c r="BG113">
        <v>77230.960000000006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9841.42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</row>
    <row r="114" spans="1:71" x14ac:dyDescent="0.25">
      <c r="A114" t="s">
        <v>929</v>
      </c>
      <c r="B114" t="s">
        <v>930</v>
      </c>
      <c r="C114">
        <v>0</v>
      </c>
      <c r="D114">
        <v>134364.29</v>
      </c>
      <c r="E114">
        <v>0</v>
      </c>
      <c r="F114">
        <v>0</v>
      </c>
      <c r="G114">
        <v>21234.25</v>
      </c>
      <c r="H114">
        <v>116338.73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3476.1</v>
      </c>
      <c r="W114">
        <v>0</v>
      </c>
      <c r="X114">
        <v>20610.990000000002</v>
      </c>
      <c r="Y114">
        <v>1734</v>
      </c>
      <c r="Z114">
        <v>1500</v>
      </c>
      <c r="AA114">
        <v>0</v>
      </c>
      <c r="AB114">
        <v>0</v>
      </c>
      <c r="AC114">
        <v>437.2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894.02</v>
      </c>
      <c r="BB114">
        <v>0</v>
      </c>
      <c r="BC114">
        <v>0</v>
      </c>
      <c r="BD114">
        <v>32378.48</v>
      </c>
      <c r="BE114">
        <v>0</v>
      </c>
      <c r="BF114">
        <v>0</v>
      </c>
      <c r="BG114">
        <v>36161.160000000003</v>
      </c>
      <c r="BH114">
        <v>3321.42</v>
      </c>
      <c r="BI114">
        <v>31163.19</v>
      </c>
      <c r="BJ114">
        <v>0</v>
      </c>
      <c r="BK114">
        <v>0</v>
      </c>
      <c r="BL114">
        <v>0</v>
      </c>
      <c r="BM114">
        <v>11657.62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</row>
    <row r="115" spans="1:71" x14ac:dyDescent="0.25">
      <c r="A115" t="s">
        <v>931</v>
      </c>
      <c r="B115" t="s">
        <v>932</v>
      </c>
      <c r="C115">
        <v>1765.31</v>
      </c>
      <c r="D115">
        <v>106107.65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5.7</v>
      </c>
      <c r="Y115">
        <v>0</v>
      </c>
      <c r="Z115">
        <v>0</v>
      </c>
      <c r="AA115">
        <v>0</v>
      </c>
      <c r="AB115">
        <v>259.77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5218.5</v>
      </c>
      <c r="BL115">
        <v>0</v>
      </c>
      <c r="BM115">
        <v>544.15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</row>
    <row r="116" spans="1:71" x14ac:dyDescent="0.25">
      <c r="A116" t="s">
        <v>933</v>
      </c>
      <c r="B116" t="s">
        <v>934</v>
      </c>
      <c r="C116">
        <v>2707</v>
      </c>
      <c r="D116">
        <v>0</v>
      </c>
      <c r="E116">
        <v>0</v>
      </c>
      <c r="F116">
        <v>0</v>
      </c>
      <c r="G116">
        <v>439.17</v>
      </c>
      <c r="H116">
        <v>38784.1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3158.87</v>
      </c>
      <c r="R116">
        <v>0</v>
      </c>
      <c r="S116">
        <v>0</v>
      </c>
      <c r="T116">
        <v>0</v>
      </c>
      <c r="U116">
        <v>0</v>
      </c>
      <c r="V116">
        <v>281.54000000000002</v>
      </c>
      <c r="W116">
        <v>0</v>
      </c>
      <c r="X116">
        <v>0</v>
      </c>
      <c r="Y116">
        <v>0</v>
      </c>
      <c r="Z116">
        <v>765.7</v>
      </c>
      <c r="AA116">
        <v>0</v>
      </c>
      <c r="AB116">
        <v>0</v>
      </c>
      <c r="AC116">
        <v>0</v>
      </c>
      <c r="AD116">
        <v>2083.5500000000002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26610.07</v>
      </c>
      <c r="BE116">
        <v>0</v>
      </c>
      <c r="BF116">
        <v>0</v>
      </c>
      <c r="BG116">
        <v>9016.4</v>
      </c>
      <c r="BH116">
        <v>0</v>
      </c>
      <c r="BI116">
        <v>8511.35</v>
      </c>
      <c r="BJ116">
        <v>0</v>
      </c>
      <c r="BK116">
        <v>0</v>
      </c>
      <c r="BL116">
        <v>0</v>
      </c>
      <c r="BM116">
        <v>5782.81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</row>
    <row r="117" spans="1:71" x14ac:dyDescent="0.25">
      <c r="A117" t="s">
        <v>935</v>
      </c>
      <c r="B117" t="s">
        <v>936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242086.71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71774.820000000007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13372.46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8599.5300000000007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631.80999999999995</v>
      </c>
    </row>
    <row r="118" spans="1:71" x14ac:dyDescent="0.25">
      <c r="A118" t="s">
        <v>937</v>
      </c>
      <c r="B118" t="s">
        <v>938</v>
      </c>
      <c r="C118">
        <v>0</v>
      </c>
      <c r="D118">
        <v>0</v>
      </c>
      <c r="E118">
        <v>0</v>
      </c>
      <c r="F118">
        <v>0</v>
      </c>
      <c r="G118">
        <v>94487.19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564068.19999999995</v>
      </c>
      <c r="R118">
        <v>0</v>
      </c>
      <c r="S118">
        <v>0</v>
      </c>
      <c r="T118">
        <v>0</v>
      </c>
      <c r="U118">
        <v>0</v>
      </c>
      <c r="V118">
        <v>4173.21</v>
      </c>
      <c r="W118">
        <v>0</v>
      </c>
      <c r="X118">
        <v>24763.360000000001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4703.1099999999997</v>
      </c>
      <c r="BE118">
        <v>0</v>
      </c>
      <c r="BF118">
        <v>0</v>
      </c>
      <c r="BG118">
        <v>33218.94</v>
      </c>
      <c r="BH118">
        <v>0</v>
      </c>
      <c r="BI118">
        <v>74376.61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</row>
    <row r="119" spans="1:71" x14ac:dyDescent="0.25">
      <c r="A119" t="s">
        <v>939</v>
      </c>
      <c r="B119" t="s">
        <v>940</v>
      </c>
      <c r="C119">
        <v>0</v>
      </c>
      <c r="D119">
        <v>8406.06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11943.17</v>
      </c>
      <c r="W119">
        <v>0</v>
      </c>
      <c r="X119">
        <v>95603.520000000004</v>
      </c>
      <c r="Y119">
        <v>0</v>
      </c>
      <c r="Z119">
        <v>0</v>
      </c>
      <c r="AA119">
        <v>0</v>
      </c>
      <c r="AB119">
        <v>5657.25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12950.21</v>
      </c>
      <c r="BE119">
        <v>0</v>
      </c>
      <c r="BF119">
        <v>0</v>
      </c>
      <c r="BG119">
        <v>49091.73</v>
      </c>
      <c r="BH119">
        <v>0</v>
      </c>
      <c r="BI119">
        <v>38106.69</v>
      </c>
      <c r="BJ119">
        <v>0</v>
      </c>
      <c r="BK119">
        <v>0</v>
      </c>
      <c r="BL119">
        <v>0</v>
      </c>
      <c r="BM119">
        <v>7415.02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4950.99</v>
      </c>
    </row>
    <row r="120" spans="1:71" x14ac:dyDescent="0.25">
      <c r="A120" t="s">
        <v>941</v>
      </c>
      <c r="B120" t="s">
        <v>942</v>
      </c>
      <c r="C120">
        <v>0</v>
      </c>
      <c r="D120">
        <v>0</v>
      </c>
      <c r="E120">
        <v>0</v>
      </c>
      <c r="F120">
        <v>0</v>
      </c>
      <c r="G120">
        <v>42965.84</v>
      </c>
      <c r="H120">
        <v>30633</v>
      </c>
      <c r="I120">
        <v>0</v>
      </c>
      <c r="J120">
        <v>0</v>
      </c>
      <c r="K120">
        <v>80554.320000000007</v>
      </c>
      <c r="L120">
        <v>0</v>
      </c>
      <c r="M120">
        <v>860</v>
      </c>
      <c r="N120">
        <v>0</v>
      </c>
      <c r="O120">
        <v>0</v>
      </c>
      <c r="P120">
        <v>0</v>
      </c>
      <c r="Q120">
        <v>102834.68</v>
      </c>
      <c r="R120">
        <v>0</v>
      </c>
      <c r="S120">
        <v>0</v>
      </c>
      <c r="T120">
        <v>0</v>
      </c>
      <c r="U120">
        <v>0</v>
      </c>
      <c r="V120">
        <v>402.59</v>
      </c>
      <c r="W120">
        <v>0</v>
      </c>
      <c r="X120">
        <v>73427.360000000001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5859.29</v>
      </c>
      <c r="AE120">
        <v>0</v>
      </c>
      <c r="AF120">
        <v>0</v>
      </c>
      <c r="AG120">
        <v>0</v>
      </c>
      <c r="AH120">
        <v>5304.66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26101.65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5000</v>
      </c>
      <c r="BD120">
        <v>30879.61</v>
      </c>
      <c r="BE120">
        <v>0</v>
      </c>
      <c r="BF120">
        <v>0</v>
      </c>
      <c r="BG120">
        <v>25107.55</v>
      </c>
      <c r="BH120">
        <v>10349.209999999999</v>
      </c>
      <c r="BI120">
        <v>54913.56</v>
      </c>
      <c r="BJ120">
        <v>0</v>
      </c>
      <c r="BK120">
        <v>8.8000000000000007</v>
      </c>
      <c r="BL120">
        <v>0</v>
      </c>
      <c r="BM120">
        <v>6159.68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</row>
    <row r="121" spans="1:71" x14ac:dyDescent="0.25">
      <c r="A121" t="s">
        <v>943</v>
      </c>
      <c r="B121" t="s">
        <v>944</v>
      </c>
      <c r="C121">
        <v>0</v>
      </c>
      <c r="D121">
        <v>48.7</v>
      </c>
      <c r="E121">
        <v>0</v>
      </c>
      <c r="F121">
        <v>2797.96</v>
      </c>
      <c r="G121">
        <v>0</v>
      </c>
      <c r="H121">
        <v>19424.11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18348.41</v>
      </c>
      <c r="R121">
        <v>0</v>
      </c>
      <c r="S121">
        <v>0</v>
      </c>
      <c r="T121">
        <v>0</v>
      </c>
      <c r="U121">
        <v>0</v>
      </c>
      <c r="V121">
        <v>3129.99</v>
      </c>
      <c r="W121">
        <v>0</v>
      </c>
      <c r="X121">
        <v>84885.05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15981.94</v>
      </c>
      <c r="BE121">
        <v>0</v>
      </c>
      <c r="BF121">
        <v>0</v>
      </c>
      <c r="BG121">
        <v>26624.33</v>
      </c>
      <c r="BH121">
        <v>0</v>
      </c>
      <c r="BI121">
        <v>7075.78</v>
      </c>
      <c r="BJ121">
        <v>0</v>
      </c>
      <c r="BK121">
        <v>0</v>
      </c>
      <c r="BL121">
        <v>0</v>
      </c>
      <c r="BM121">
        <v>6647.24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</row>
    <row r="122" spans="1:71" x14ac:dyDescent="0.25">
      <c r="A122" t="s">
        <v>945</v>
      </c>
      <c r="B122" t="s">
        <v>946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199007.14</v>
      </c>
      <c r="R122">
        <v>0</v>
      </c>
      <c r="S122">
        <v>0</v>
      </c>
      <c r="T122">
        <v>0</v>
      </c>
      <c r="U122">
        <v>0</v>
      </c>
      <c r="V122">
        <v>2722.3</v>
      </c>
      <c r="W122">
        <v>0</v>
      </c>
      <c r="X122">
        <v>46031.37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4000</v>
      </c>
      <c r="BB122">
        <v>0</v>
      </c>
      <c r="BC122">
        <v>0</v>
      </c>
      <c r="BD122">
        <v>22458.09</v>
      </c>
      <c r="BE122">
        <v>0</v>
      </c>
      <c r="BF122">
        <v>0</v>
      </c>
      <c r="BG122">
        <v>82037.61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7912.28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</row>
    <row r="123" spans="1:71" x14ac:dyDescent="0.25">
      <c r="A123" t="s">
        <v>947</v>
      </c>
      <c r="B123" t="s">
        <v>948</v>
      </c>
      <c r="C123">
        <v>0</v>
      </c>
      <c r="D123">
        <v>0</v>
      </c>
      <c r="E123">
        <v>0</v>
      </c>
      <c r="F123">
        <v>0</v>
      </c>
      <c r="G123">
        <v>62199.97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255039.49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21076.51</v>
      </c>
      <c r="BE123">
        <v>0</v>
      </c>
      <c r="BF123">
        <v>0</v>
      </c>
      <c r="BG123">
        <v>36935.370000000003</v>
      </c>
      <c r="BH123">
        <v>0</v>
      </c>
      <c r="BI123">
        <v>20468.86</v>
      </c>
      <c r="BJ123">
        <v>0</v>
      </c>
      <c r="BK123">
        <v>0</v>
      </c>
      <c r="BL123">
        <v>0</v>
      </c>
      <c r="BM123">
        <v>2940.94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</row>
    <row r="124" spans="1:71" x14ac:dyDescent="0.25">
      <c r="A124" t="s">
        <v>949</v>
      </c>
      <c r="B124" t="s">
        <v>950</v>
      </c>
      <c r="C124">
        <v>2802.01</v>
      </c>
      <c r="D124">
        <v>92866.84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4400</v>
      </c>
      <c r="W124">
        <v>0</v>
      </c>
      <c r="X124">
        <v>10516.8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24343.71</v>
      </c>
      <c r="BE124">
        <v>0</v>
      </c>
      <c r="BF124">
        <v>0</v>
      </c>
      <c r="BG124">
        <v>21329.29</v>
      </c>
      <c r="BH124">
        <v>0</v>
      </c>
      <c r="BI124">
        <v>18039.07</v>
      </c>
      <c r="BJ124">
        <v>0</v>
      </c>
      <c r="BK124">
        <v>7235.76</v>
      </c>
      <c r="BL124">
        <v>0</v>
      </c>
      <c r="BM124">
        <v>16229.69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</row>
    <row r="125" spans="1:71" x14ac:dyDescent="0.25">
      <c r="A125" t="s">
        <v>951</v>
      </c>
      <c r="B125" t="s">
        <v>952</v>
      </c>
      <c r="C125">
        <v>0</v>
      </c>
      <c r="D125">
        <v>0</v>
      </c>
      <c r="E125">
        <v>0</v>
      </c>
      <c r="F125">
        <v>0</v>
      </c>
      <c r="G125">
        <v>5696.16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18181.810000000001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</row>
    <row r="126" spans="1:71" x14ac:dyDescent="0.25">
      <c r="A126" t="s">
        <v>953</v>
      </c>
      <c r="B126" t="s">
        <v>954</v>
      </c>
      <c r="C126">
        <v>0</v>
      </c>
      <c r="D126">
        <v>16007.3</v>
      </c>
      <c r="E126">
        <v>0</v>
      </c>
      <c r="F126">
        <v>0</v>
      </c>
      <c r="G126">
        <v>6809.39</v>
      </c>
      <c r="H126">
        <v>34232.199999999997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1469.52</v>
      </c>
      <c r="Y126">
        <v>5334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24744.99</v>
      </c>
      <c r="BE126">
        <v>0</v>
      </c>
      <c r="BF126">
        <v>0</v>
      </c>
      <c r="BG126">
        <v>49579.33</v>
      </c>
      <c r="BH126">
        <v>0</v>
      </c>
      <c r="BI126">
        <v>25470.78</v>
      </c>
      <c r="BJ126">
        <v>0</v>
      </c>
      <c r="BK126">
        <v>0</v>
      </c>
      <c r="BL126">
        <v>0</v>
      </c>
      <c r="BM126">
        <v>1779.53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</row>
    <row r="127" spans="1:71" x14ac:dyDescent="0.25">
      <c r="A127" t="s">
        <v>955</v>
      </c>
      <c r="B127" t="s">
        <v>956</v>
      </c>
      <c r="C127">
        <v>0</v>
      </c>
      <c r="D127">
        <v>0</v>
      </c>
      <c r="E127">
        <v>0</v>
      </c>
      <c r="F127">
        <v>55753</v>
      </c>
      <c r="G127">
        <v>192243.36</v>
      </c>
      <c r="H127">
        <v>303475.68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110808.09</v>
      </c>
      <c r="R127">
        <v>0</v>
      </c>
      <c r="S127">
        <v>0</v>
      </c>
      <c r="T127">
        <v>0</v>
      </c>
      <c r="U127">
        <v>0</v>
      </c>
      <c r="V127">
        <v>957.2</v>
      </c>
      <c r="W127">
        <v>0</v>
      </c>
      <c r="X127">
        <v>137353.44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35100.339999999997</v>
      </c>
      <c r="BE127">
        <v>0</v>
      </c>
      <c r="BF127">
        <v>0</v>
      </c>
      <c r="BG127">
        <v>60255.78</v>
      </c>
      <c r="BH127">
        <v>0</v>
      </c>
      <c r="BI127">
        <v>97652.69</v>
      </c>
      <c r="BJ127">
        <v>0</v>
      </c>
      <c r="BK127">
        <v>11920.25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43241.96</v>
      </c>
    </row>
    <row r="128" spans="1:71" x14ac:dyDescent="0.25">
      <c r="A128" t="s">
        <v>957</v>
      </c>
      <c r="B128" t="s">
        <v>958</v>
      </c>
      <c r="C128">
        <v>0</v>
      </c>
      <c r="D128">
        <v>1911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14585.05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27506.69</v>
      </c>
      <c r="BE128">
        <v>0</v>
      </c>
      <c r="BF128">
        <v>0</v>
      </c>
      <c r="BG128">
        <v>18580.330000000002</v>
      </c>
      <c r="BH128">
        <v>0</v>
      </c>
      <c r="BI128">
        <v>13352.48</v>
      </c>
      <c r="BJ128">
        <v>0</v>
      </c>
      <c r="BK128">
        <v>0</v>
      </c>
      <c r="BL128">
        <v>0</v>
      </c>
      <c r="BM128">
        <v>5892.08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</row>
    <row r="129" spans="1:71" x14ac:dyDescent="0.25">
      <c r="A129" t="s">
        <v>959</v>
      </c>
      <c r="B129" t="s">
        <v>960</v>
      </c>
      <c r="C129">
        <v>1350</v>
      </c>
      <c r="D129">
        <v>0</v>
      </c>
      <c r="E129">
        <v>0</v>
      </c>
      <c r="F129">
        <v>11243</v>
      </c>
      <c r="G129">
        <v>76910.31</v>
      </c>
      <c r="H129">
        <v>61531.75</v>
      </c>
      <c r="I129">
        <v>0</v>
      </c>
      <c r="J129">
        <v>0</v>
      </c>
      <c r="K129">
        <v>19709.73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27124.240000000002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29290.81</v>
      </c>
      <c r="BE129">
        <v>0</v>
      </c>
      <c r="BF129">
        <v>0</v>
      </c>
      <c r="BG129">
        <v>5584.03</v>
      </c>
      <c r="BH129">
        <v>0</v>
      </c>
      <c r="BI129">
        <v>10384.27</v>
      </c>
      <c r="BJ129">
        <v>0</v>
      </c>
      <c r="BK129">
        <v>0</v>
      </c>
      <c r="BL129">
        <v>0</v>
      </c>
      <c r="BM129">
        <v>6298.5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5000</v>
      </c>
    </row>
    <row r="130" spans="1:71" x14ac:dyDescent="0.25">
      <c r="A130" t="s">
        <v>961</v>
      </c>
      <c r="B130" t="s">
        <v>962</v>
      </c>
      <c r="C130">
        <v>0</v>
      </c>
      <c r="D130">
        <v>0</v>
      </c>
      <c r="E130">
        <v>0</v>
      </c>
      <c r="F130">
        <v>0</v>
      </c>
      <c r="G130">
        <v>48651.18</v>
      </c>
      <c r="H130">
        <v>34794.6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2122.92</v>
      </c>
      <c r="R130">
        <v>0</v>
      </c>
      <c r="S130">
        <v>0</v>
      </c>
      <c r="T130">
        <v>0</v>
      </c>
      <c r="U130">
        <v>0</v>
      </c>
      <c r="V130">
        <v>305.52999999999997</v>
      </c>
      <c r="W130">
        <v>0</v>
      </c>
      <c r="X130">
        <v>32110.2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26228.58</v>
      </c>
      <c r="BE130">
        <v>0</v>
      </c>
      <c r="BF130">
        <v>0</v>
      </c>
      <c r="BG130">
        <v>35785.480000000003</v>
      </c>
      <c r="BH130">
        <v>0</v>
      </c>
      <c r="BI130">
        <v>24175.97</v>
      </c>
      <c r="BJ130">
        <v>0</v>
      </c>
      <c r="BK130">
        <v>0</v>
      </c>
      <c r="BL130">
        <v>0</v>
      </c>
      <c r="BM130">
        <v>1784.14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</row>
    <row r="131" spans="1:71" x14ac:dyDescent="0.25">
      <c r="A131" t="s">
        <v>963</v>
      </c>
      <c r="B131" t="s">
        <v>605</v>
      </c>
      <c r="C131">
        <v>0</v>
      </c>
      <c r="D131">
        <v>0</v>
      </c>
      <c r="E131">
        <v>0</v>
      </c>
      <c r="F131">
        <v>0</v>
      </c>
      <c r="G131">
        <v>10596.38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5868.88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12654.01</v>
      </c>
      <c r="BE131">
        <v>0</v>
      </c>
      <c r="BF131">
        <v>0</v>
      </c>
      <c r="BG131">
        <v>14209.67</v>
      </c>
      <c r="BH131">
        <v>0</v>
      </c>
      <c r="BI131">
        <v>3655.24</v>
      </c>
      <c r="BJ131">
        <v>0</v>
      </c>
      <c r="BK131">
        <v>0</v>
      </c>
      <c r="BL131">
        <v>0</v>
      </c>
      <c r="BM131">
        <v>2062.73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</row>
    <row r="132" spans="1:71" x14ac:dyDescent="0.25">
      <c r="A132" t="s">
        <v>964</v>
      </c>
      <c r="B132" t="s">
        <v>965</v>
      </c>
      <c r="C132">
        <v>0</v>
      </c>
      <c r="D132">
        <v>132115.47</v>
      </c>
      <c r="E132">
        <v>0</v>
      </c>
      <c r="F132">
        <v>0</v>
      </c>
      <c r="G132">
        <v>31727.23</v>
      </c>
      <c r="H132">
        <v>339515.46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43906.86</v>
      </c>
      <c r="R132">
        <v>0</v>
      </c>
      <c r="S132">
        <v>0</v>
      </c>
      <c r="T132">
        <v>0</v>
      </c>
      <c r="U132">
        <v>0</v>
      </c>
      <c r="V132">
        <v>4120.12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2604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33263.82</v>
      </c>
      <c r="BE132">
        <v>0</v>
      </c>
      <c r="BF132">
        <v>0</v>
      </c>
      <c r="BG132">
        <v>32632.45</v>
      </c>
      <c r="BH132">
        <v>4000</v>
      </c>
      <c r="BI132">
        <v>107845.52</v>
      </c>
      <c r="BJ132">
        <v>0</v>
      </c>
      <c r="BK132">
        <v>0</v>
      </c>
      <c r="BL132">
        <v>0</v>
      </c>
      <c r="BM132">
        <v>1365.91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</row>
    <row r="133" spans="1:71" x14ac:dyDescent="0.25">
      <c r="A133" t="s">
        <v>966</v>
      </c>
      <c r="B133" t="s">
        <v>967</v>
      </c>
      <c r="C133">
        <v>0</v>
      </c>
      <c r="D133">
        <v>18780.75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379.46</v>
      </c>
      <c r="W133">
        <v>0</v>
      </c>
      <c r="X133">
        <v>106385.51</v>
      </c>
      <c r="Y133">
        <v>0</v>
      </c>
      <c r="Z133">
        <v>0</v>
      </c>
      <c r="AA133">
        <v>31616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31829.15</v>
      </c>
      <c r="BE133">
        <v>0</v>
      </c>
      <c r="BF133">
        <v>0</v>
      </c>
      <c r="BG133">
        <v>59688.480000000003</v>
      </c>
      <c r="BH133">
        <v>1662.09</v>
      </c>
      <c r="BI133">
        <v>143.12</v>
      </c>
      <c r="BJ133">
        <v>0</v>
      </c>
      <c r="BK133">
        <v>0</v>
      </c>
      <c r="BL133">
        <v>0</v>
      </c>
      <c r="BM133">
        <v>6768.01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</row>
    <row r="134" spans="1:71" x14ac:dyDescent="0.25">
      <c r="A134" t="s">
        <v>968</v>
      </c>
      <c r="B134" t="s">
        <v>969</v>
      </c>
      <c r="C134">
        <v>0</v>
      </c>
      <c r="D134">
        <v>3707.25</v>
      </c>
      <c r="E134">
        <v>0</v>
      </c>
      <c r="F134">
        <v>0</v>
      </c>
      <c r="G134">
        <v>0</v>
      </c>
      <c r="H134">
        <v>42183.8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22389.8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2913.57</v>
      </c>
      <c r="BE134">
        <v>0</v>
      </c>
      <c r="BF134">
        <v>0</v>
      </c>
      <c r="BG134">
        <v>2256.5100000000002</v>
      </c>
      <c r="BH134">
        <v>0</v>
      </c>
      <c r="BI134">
        <v>17185.86</v>
      </c>
      <c r="BJ134">
        <v>0</v>
      </c>
      <c r="BK134">
        <v>0</v>
      </c>
      <c r="BL134">
        <v>0</v>
      </c>
      <c r="BM134">
        <v>3038.07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</row>
    <row r="135" spans="1:71" x14ac:dyDescent="0.25">
      <c r="A135" t="s">
        <v>970</v>
      </c>
      <c r="B135" t="s">
        <v>971</v>
      </c>
      <c r="C135">
        <v>0</v>
      </c>
      <c r="D135">
        <v>2901.98</v>
      </c>
      <c r="E135">
        <v>0</v>
      </c>
      <c r="F135">
        <v>0</v>
      </c>
      <c r="G135">
        <v>0</v>
      </c>
      <c r="H135">
        <v>44679.03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35885.660000000003</v>
      </c>
      <c r="R135">
        <v>0</v>
      </c>
      <c r="S135">
        <v>0</v>
      </c>
      <c r="T135">
        <v>0</v>
      </c>
      <c r="U135">
        <v>0</v>
      </c>
      <c r="V135">
        <v>4369.74</v>
      </c>
      <c r="W135">
        <v>0</v>
      </c>
      <c r="X135">
        <v>343.49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10761.89</v>
      </c>
      <c r="BE135">
        <v>0</v>
      </c>
      <c r="BF135">
        <v>0</v>
      </c>
      <c r="BG135">
        <v>0</v>
      </c>
      <c r="BH135">
        <v>0</v>
      </c>
      <c r="BI135">
        <v>5260.78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</row>
    <row r="136" spans="1:71" x14ac:dyDescent="0.25">
      <c r="A136" t="s">
        <v>972</v>
      </c>
      <c r="B136" t="s">
        <v>973</v>
      </c>
      <c r="C136">
        <v>0</v>
      </c>
      <c r="D136">
        <v>0</v>
      </c>
      <c r="E136">
        <v>0</v>
      </c>
      <c r="F136">
        <v>0</v>
      </c>
      <c r="G136">
        <v>27891.06</v>
      </c>
      <c r="H136">
        <v>128178.7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32820.839999999997</v>
      </c>
      <c r="Y136">
        <v>0</v>
      </c>
      <c r="Z136">
        <v>0</v>
      </c>
      <c r="AA136">
        <v>0</v>
      </c>
      <c r="AB136">
        <v>1735.18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11984.63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</row>
    <row r="137" spans="1:71" x14ac:dyDescent="0.25">
      <c r="A137" t="s">
        <v>974</v>
      </c>
      <c r="B137" t="s">
        <v>975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12200.6</v>
      </c>
      <c r="I137">
        <v>0</v>
      </c>
      <c r="J137">
        <v>0</v>
      </c>
      <c r="K137">
        <v>0</v>
      </c>
      <c r="L137">
        <v>1711</v>
      </c>
      <c r="M137">
        <v>0</v>
      </c>
      <c r="N137">
        <v>0</v>
      </c>
      <c r="O137">
        <v>0</v>
      </c>
      <c r="P137">
        <v>0</v>
      </c>
      <c r="Q137">
        <v>67505.740000000005</v>
      </c>
      <c r="R137">
        <v>37644</v>
      </c>
      <c r="S137">
        <v>0</v>
      </c>
      <c r="T137">
        <v>0</v>
      </c>
      <c r="U137">
        <v>0</v>
      </c>
      <c r="V137">
        <v>805.26</v>
      </c>
      <c r="W137">
        <v>0</v>
      </c>
      <c r="X137">
        <v>48259.74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22280.86</v>
      </c>
      <c r="BE137">
        <v>0</v>
      </c>
      <c r="BF137">
        <v>0</v>
      </c>
      <c r="BG137">
        <v>0</v>
      </c>
      <c r="BH137">
        <v>0</v>
      </c>
      <c r="BI137">
        <v>42983.07</v>
      </c>
      <c r="BJ137">
        <v>0</v>
      </c>
      <c r="BK137">
        <v>0</v>
      </c>
      <c r="BL137">
        <v>0</v>
      </c>
      <c r="BM137">
        <v>4261.95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</row>
    <row r="138" spans="1:71" x14ac:dyDescent="0.25">
      <c r="A138" t="s">
        <v>976</v>
      </c>
      <c r="B138" t="s">
        <v>977</v>
      </c>
      <c r="C138">
        <v>26941.71</v>
      </c>
      <c r="D138">
        <v>3525</v>
      </c>
      <c r="E138">
        <v>0</v>
      </c>
      <c r="F138">
        <v>21754.5</v>
      </c>
      <c r="G138">
        <v>0</v>
      </c>
      <c r="H138">
        <v>102554.91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59.2</v>
      </c>
      <c r="W138">
        <v>0</v>
      </c>
      <c r="X138">
        <v>0</v>
      </c>
      <c r="Y138">
        <v>565.58000000000004</v>
      </c>
      <c r="Z138">
        <v>0</v>
      </c>
      <c r="AA138">
        <v>12630.83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10781.27</v>
      </c>
      <c r="BE138">
        <v>0</v>
      </c>
      <c r="BF138">
        <v>0</v>
      </c>
      <c r="BG138">
        <v>9044.42</v>
      </c>
      <c r="BH138">
        <v>0</v>
      </c>
      <c r="BI138">
        <v>12624.61</v>
      </c>
      <c r="BJ138">
        <v>22931</v>
      </c>
      <c r="BK138">
        <v>2384.2199999999998</v>
      </c>
      <c r="BL138">
        <v>0</v>
      </c>
      <c r="BM138">
        <v>5960.89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</row>
    <row r="139" spans="1:71" x14ac:dyDescent="0.25">
      <c r="A139" t="s">
        <v>978</v>
      </c>
      <c r="B139" t="s">
        <v>979</v>
      </c>
      <c r="C139">
        <v>0</v>
      </c>
      <c r="D139">
        <v>26024.52</v>
      </c>
      <c r="E139">
        <v>0</v>
      </c>
      <c r="F139">
        <v>0</v>
      </c>
      <c r="G139">
        <v>28786.45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4177.62</v>
      </c>
      <c r="BE139">
        <v>0</v>
      </c>
      <c r="BF139">
        <v>0</v>
      </c>
      <c r="BG139">
        <v>2672.8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</row>
    <row r="140" spans="1:71" x14ac:dyDescent="0.25">
      <c r="A140" t="s">
        <v>980</v>
      </c>
      <c r="B140" t="s">
        <v>981</v>
      </c>
      <c r="C140">
        <v>46279.6</v>
      </c>
      <c r="D140">
        <v>215657.08</v>
      </c>
      <c r="E140">
        <v>0</v>
      </c>
      <c r="F140">
        <v>47819.55</v>
      </c>
      <c r="G140">
        <v>81896.789999999994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689.42</v>
      </c>
      <c r="W140">
        <v>0</v>
      </c>
      <c r="X140">
        <v>53.33</v>
      </c>
      <c r="Y140">
        <v>0</v>
      </c>
      <c r="Z140">
        <v>2102.0300000000002</v>
      </c>
      <c r="AA140">
        <v>0</v>
      </c>
      <c r="AB140">
        <v>412.83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12567.82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</row>
    <row r="141" spans="1:71" x14ac:dyDescent="0.25">
      <c r="A141" t="s">
        <v>982</v>
      </c>
      <c r="B141" t="s">
        <v>983</v>
      </c>
      <c r="C141">
        <v>12668</v>
      </c>
      <c r="D141">
        <v>310179.61</v>
      </c>
      <c r="E141">
        <v>0</v>
      </c>
      <c r="F141">
        <v>30616.37</v>
      </c>
      <c r="G141">
        <v>94821.27</v>
      </c>
      <c r="H141">
        <v>44197.11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3423.87</v>
      </c>
      <c r="R141">
        <v>0</v>
      </c>
      <c r="S141">
        <v>0</v>
      </c>
      <c r="T141">
        <v>0</v>
      </c>
      <c r="U141">
        <v>0</v>
      </c>
      <c r="V141">
        <v>6242.06</v>
      </c>
      <c r="W141">
        <v>0</v>
      </c>
      <c r="X141">
        <v>0</v>
      </c>
      <c r="Y141">
        <v>0</v>
      </c>
      <c r="Z141">
        <v>221.66</v>
      </c>
      <c r="AA141">
        <v>22924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13404.52</v>
      </c>
      <c r="BE141">
        <v>0</v>
      </c>
      <c r="BF141">
        <v>0</v>
      </c>
      <c r="BG141">
        <v>24069.91</v>
      </c>
      <c r="BH141">
        <v>0</v>
      </c>
      <c r="BI141">
        <v>11469.11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</row>
    <row r="142" spans="1:71" x14ac:dyDescent="0.25">
      <c r="A142" t="s">
        <v>984</v>
      </c>
      <c r="B142" t="s">
        <v>985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25879.34</v>
      </c>
      <c r="BE142">
        <v>0</v>
      </c>
      <c r="BF142">
        <v>0</v>
      </c>
      <c r="BG142">
        <v>0</v>
      </c>
      <c r="BH142">
        <v>0</v>
      </c>
      <c r="BI142">
        <v>25060.53</v>
      </c>
      <c r="BJ142">
        <v>0</v>
      </c>
      <c r="BK142">
        <v>0</v>
      </c>
      <c r="BL142">
        <v>0</v>
      </c>
      <c r="BM142">
        <v>5713.9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</row>
    <row r="143" spans="1:71" x14ac:dyDescent="0.25">
      <c r="A143" t="s">
        <v>986</v>
      </c>
      <c r="B143" t="s">
        <v>987</v>
      </c>
      <c r="C143">
        <v>4746.82</v>
      </c>
      <c r="D143">
        <v>0</v>
      </c>
      <c r="E143">
        <v>0</v>
      </c>
      <c r="F143">
        <v>0</v>
      </c>
      <c r="G143">
        <v>77072</v>
      </c>
      <c r="H143">
        <v>1883.98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42811.12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35.68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14471.64</v>
      </c>
      <c r="BE143">
        <v>0</v>
      </c>
      <c r="BF143">
        <v>0</v>
      </c>
      <c r="BG143">
        <v>4852.75</v>
      </c>
      <c r="BH143">
        <v>0</v>
      </c>
      <c r="BI143">
        <v>4061.93</v>
      </c>
      <c r="BJ143">
        <v>0</v>
      </c>
      <c r="BK143">
        <v>0</v>
      </c>
      <c r="BL143">
        <v>0</v>
      </c>
      <c r="BM143">
        <v>7315.21</v>
      </c>
      <c r="BN143">
        <v>0</v>
      </c>
      <c r="BO143">
        <v>891.18</v>
      </c>
      <c r="BP143">
        <v>0</v>
      </c>
      <c r="BQ143">
        <v>0</v>
      </c>
      <c r="BR143">
        <v>0</v>
      </c>
      <c r="BS143">
        <v>0</v>
      </c>
    </row>
    <row r="144" spans="1:71" x14ac:dyDescent="0.25">
      <c r="A144" t="s">
        <v>988</v>
      </c>
      <c r="B144" t="s">
        <v>989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54016.32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42704.93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9446.1299999999992</v>
      </c>
      <c r="BE144">
        <v>0</v>
      </c>
      <c r="BF144">
        <v>0</v>
      </c>
      <c r="BG144">
        <v>42486.42</v>
      </c>
      <c r="BH144">
        <v>0</v>
      </c>
      <c r="BI144">
        <v>53872.09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</row>
    <row r="145" spans="1:71" x14ac:dyDescent="0.25">
      <c r="A145" t="s">
        <v>990</v>
      </c>
      <c r="B145" t="s">
        <v>991</v>
      </c>
      <c r="C145">
        <v>529.91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4077.07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2408.6999999999998</v>
      </c>
      <c r="BE145">
        <v>0</v>
      </c>
      <c r="BF145">
        <v>0</v>
      </c>
      <c r="BG145">
        <v>5402.09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</row>
    <row r="146" spans="1:71" x14ac:dyDescent="0.25">
      <c r="A146" t="s">
        <v>992</v>
      </c>
      <c r="B146" t="s">
        <v>993</v>
      </c>
      <c r="C146">
        <v>3759.02</v>
      </c>
      <c r="D146">
        <v>0</v>
      </c>
      <c r="E146">
        <v>0</v>
      </c>
      <c r="F146">
        <v>0</v>
      </c>
      <c r="G146">
        <v>0</v>
      </c>
      <c r="H146">
        <v>279007.21999999997</v>
      </c>
      <c r="I146">
        <v>0</v>
      </c>
      <c r="J146">
        <v>0</v>
      </c>
      <c r="K146">
        <v>0</v>
      </c>
      <c r="L146">
        <v>7070.43</v>
      </c>
      <c r="M146">
        <v>0</v>
      </c>
      <c r="N146">
        <v>0</v>
      </c>
      <c r="O146">
        <v>0</v>
      </c>
      <c r="P146">
        <v>0</v>
      </c>
      <c r="Q146">
        <v>0.01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6412.67</v>
      </c>
      <c r="Z146">
        <v>0</v>
      </c>
      <c r="AA146">
        <v>77621</v>
      </c>
      <c r="AB146">
        <v>5192.21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1999.22</v>
      </c>
      <c r="AW146">
        <v>0</v>
      </c>
      <c r="AX146">
        <v>0</v>
      </c>
      <c r="AY146">
        <v>126.19</v>
      </c>
      <c r="AZ146">
        <v>0</v>
      </c>
      <c r="BA146">
        <v>0</v>
      </c>
      <c r="BB146">
        <v>0</v>
      </c>
      <c r="BC146">
        <v>0</v>
      </c>
      <c r="BD146">
        <v>40790.01</v>
      </c>
      <c r="BE146">
        <v>0</v>
      </c>
      <c r="BF146">
        <v>0</v>
      </c>
      <c r="BG146">
        <v>137595.45000000001</v>
      </c>
      <c r="BH146">
        <v>0</v>
      </c>
      <c r="BI146">
        <v>27654.99</v>
      </c>
      <c r="BJ146">
        <v>0</v>
      </c>
      <c r="BK146">
        <v>2671.32</v>
      </c>
      <c r="BL146">
        <v>0</v>
      </c>
      <c r="BM146">
        <v>8192.4</v>
      </c>
      <c r="BN146">
        <v>1785.54</v>
      </c>
      <c r="BO146">
        <v>5.38</v>
      </c>
      <c r="BP146">
        <v>0</v>
      </c>
      <c r="BQ146">
        <v>0</v>
      </c>
      <c r="BR146">
        <v>0</v>
      </c>
      <c r="BS146">
        <v>0</v>
      </c>
    </row>
    <row r="147" spans="1:71" x14ac:dyDescent="0.25">
      <c r="A147" t="s">
        <v>994</v>
      </c>
      <c r="B147" t="s">
        <v>995</v>
      </c>
      <c r="C147">
        <v>8461.7099999999991</v>
      </c>
      <c r="D147">
        <v>85130.53</v>
      </c>
      <c r="E147">
        <v>0</v>
      </c>
      <c r="F147">
        <v>0</v>
      </c>
      <c r="G147">
        <v>59545.85</v>
      </c>
      <c r="H147">
        <v>6392.83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26018.83</v>
      </c>
      <c r="R147">
        <v>0</v>
      </c>
      <c r="S147">
        <v>0</v>
      </c>
      <c r="T147">
        <v>0</v>
      </c>
      <c r="U147">
        <v>0</v>
      </c>
      <c r="V147">
        <v>1791.61</v>
      </c>
      <c r="W147">
        <v>0</v>
      </c>
      <c r="X147">
        <v>347.07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1360.37</v>
      </c>
      <c r="BH147">
        <v>0</v>
      </c>
      <c r="BI147">
        <v>4224.01</v>
      </c>
      <c r="BJ147">
        <v>0</v>
      </c>
      <c r="BK147">
        <v>518.57000000000005</v>
      </c>
      <c r="BL147">
        <v>0</v>
      </c>
      <c r="BM147">
        <v>5087.82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</row>
    <row r="148" spans="1:71" x14ac:dyDescent="0.25">
      <c r="A148" t="s">
        <v>996</v>
      </c>
      <c r="B148" t="s">
        <v>997</v>
      </c>
      <c r="C148">
        <v>0</v>
      </c>
      <c r="D148">
        <v>0</v>
      </c>
      <c r="E148">
        <v>0</v>
      </c>
      <c r="F148">
        <v>10233.77</v>
      </c>
      <c r="G148">
        <v>44362.54</v>
      </c>
      <c r="H148">
        <v>88718.63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1347.44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62609.21</v>
      </c>
      <c r="BH148">
        <v>0</v>
      </c>
      <c r="BI148">
        <v>23720.16</v>
      </c>
      <c r="BJ148">
        <v>0</v>
      </c>
      <c r="BK148">
        <v>0</v>
      </c>
      <c r="BL148">
        <v>0</v>
      </c>
      <c r="BM148">
        <v>20030.59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</row>
    <row r="149" spans="1:71" x14ac:dyDescent="0.25">
      <c r="A149" t="s">
        <v>998</v>
      </c>
      <c r="B149" t="s">
        <v>999</v>
      </c>
      <c r="C149">
        <v>0</v>
      </c>
      <c r="D149">
        <v>4418.04</v>
      </c>
      <c r="E149">
        <v>0</v>
      </c>
      <c r="F149">
        <v>0</v>
      </c>
      <c r="G149">
        <v>86719.79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2424.58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80.2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25178.93</v>
      </c>
      <c r="BE149">
        <v>0</v>
      </c>
      <c r="BF149">
        <v>0</v>
      </c>
      <c r="BG149">
        <v>20500.330000000002</v>
      </c>
      <c r="BH149">
        <v>0</v>
      </c>
      <c r="BI149">
        <v>3859.91</v>
      </c>
      <c r="BJ149">
        <v>0</v>
      </c>
      <c r="BK149">
        <v>0</v>
      </c>
      <c r="BL149">
        <v>0</v>
      </c>
      <c r="BM149">
        <v>93878.69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</row>
    <row r="150" spans="1:71" x14ac:dyDescent="0.25">
      <c r="A150" t="s">
        <v>1000</v>
      </c>
      <c r="B150" t="s">
        <v>1001</v>
      </c>
      <c r="C150">
        <v>469.72</v>
      </c>
      <c r="D150">
        <v>22260.25</v>
      </c>
      <c r="E150">
        <v>0</v>
      </c>
      <c r="F150">
        <v>0</v>
      </c>
      <c r="G150">
        <v>142072.34</v>
      </c>
      <c r="H150">
        <v>99197.440000000002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176113.3</v>
      </c>
      <c r="R150">
        <v>0</v>
      </c>
      <c r="S150">
        <v>0</v>
      </c>
      <c r="T150">
        <v>0</v>
      </c>
      <c r="U150">
        <v>0</v>
      </c>
      <c r="V150">
        <v>1707.01</v>
      </c>
      <c r="W150">
        <v>0</v>
      </c>
      <c r="X150">
        <v>217806.17</v>
      </c>
      <c r="Y150">
        <v>0</v>
      </c>
      <c r="Z150">
        <v>0</v>
      </c>
      <c r="AA150">
        <v>20826.32</v>
      </c>
      <c r="AB150">
        <v>0</v>
      </c>
      <c r="AC150">
        <v>0</v>
      </c>
      <c r="AD150">
        <v>740.34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38329.620000000003</v>
      </c>
      <c r="BE150">
        <v>0</v>
      </c>
      <c r="BF150">
        <v>0</v>
      </c>
      <c r="BG150">
        <v>73948.41</v>
      </c>
      <c r="BH150">
        <v>0</v>
      </c>
      <c r="BI150">
        <v>410.88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</row>
    <row r="151" spans="1:71" x14ac:dyDescent="0.25">
      <c r="A151" t="s">
        <v>1002</v>
      </c>
      <c r="B151" t="s">
        <v>1003</v>
      </c>
      <c r="C151">
        <v>0</v>
      </c>
      <c r="D151">
        <v>6884.72</v>
      </c>
      <c r="E151">
        <v>0</v>
      </c>
      <c r="F151">
        <v>0</v>
      </c>
      <c r="G151">
        <v>14176.5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155.4</v>
      </c>
      <c r="W151">
        <v>0</v>
      </c>
      <c r="X151">
        <v>6603.34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31850.16</v>
      </c>
      <c r="BE151">
        <v>0</v>
      </c>
      <c r="BF151">
        <v>0</v>
      </c>
      <c r="BG151">
        <v>50329.75</v>
      </c>
      <c r="BH151">
        <v>0</v>
      </c>
      <c r="BI151">
        <v>27473.77</v>
      </c>
      <c r="BJ151">
        <v>0</v>
      </c>
      <c r="BK151">
        <v>0</v>
      </c>
      <c r="BL151">
        <v>0</v>
      </c>
      <c r="BM151">
        <v>5.78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</row>
    <row r="152" spans="1:71" x14ac:dyDescent="0.25">
      <c r="A152" t="s">
        <v>1004</v>
      </c>
      <c r="B152" t="s">
        <v>1005</v>
      </c>
      <c r="C152">
        <v>16700</v>
      </c>
      <c r="D152">
        <v>5172.88</v>
      </c>
      <c r="E152">
        <v>0</v>
      </c>
      <c r="F152">
        <v>6275.33</v>
      </c>
      <c r="G152">
        <v>18855.3</v>
      </c>
      <c r="H152">
        <v>57361.42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128249.69</v>
      </c>
      <c r="R152">
        <v>0</v>
      </c>
      <c r="S152">
        <v>0</v>
      </c>
      <c r="T152">
        <v>0</v>
      </c>
      <c r="U152">
        <v>0</v>
      </c>
      <c r="V152">
        <v>611.09</v>
      </c>
      <c r="W152">
        <v>0</v>
      </c>
      <c r="X152">
        <v>23706.45</v>
      </c>
      <c r="Y152">
        <v>1358.04</v>
      </c>
      <c r="Z152">
        <v>0</v>
      </c>
      <c r="AA152">
        <v>49210.03</v>
      </c>
      <c r="AB152">
        <v>0</v>
      </c>
      <c r="AC152">
        <v>0</v>
      </c>
      <c r="AD152">
        <v>0</v>
      </c>
      <c r="AE152">
        <v>0</v>
      </c>
      <c r="AF152">
        <v>2326.36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36518.29</v>
      </c>
      <c r="BE152">
        <v>0</v>
      </c>
      <c r="BF152">
        <v>0</v>
      </c>
      <c r="BG152">
        <v>77986.66</v>
      </c>
      <c r="BH152">
        <v>0</v>
      </c>
      <c r="BI152">
        <v>97716.86</v>
      </c>
      <c r="BJ152">
        <v>0</v>
      </c>
      <c r="BK152">
        <v>113.15</v>
      </c>
      <c r="BL152">
        <v>0</v>
      </c>
      <c r="BM152">
        <v>0</v>
      </c>
      <c r="BN152">
        <v>0</v>
      </c>
      <c r="BO152">
        <v>2400</v>
      </c>
      <c r="BP152">
        <v>0</v>
      </c>
      <c r="BQ152">
        <v>0</v>
      </c>
      <c r="BR152">
        <v>0</v>
      </c>
      <c r="BS152">
        <v>0</v>
      </c>
    </row>
    <row r="153" spans="1:71" x14ac:dyDescent="0.25">
      <c r="A153" t="s">
        <v>1006</v>
      </c>
      <c r="B153" t="s">
        <v>1007</v>
      </c>
      <c r="C153">
        <v>0</v>
      </c>
      <c r="D153">
        <v>867903.37</v>
      </c>
      <c r="E153">
        <v>0</v>
      </c>
      <c r="F153">
        <v>10174.58</v>
      </c>
      <c r="G153">
        <v>534477.54</v>
      </c>
      <c r="H153">
        <v>354460.18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37806.18</v>
      </c>
      <c r="R153">
        <v>0</v>
      </c>
      <c r="S153">
        <v>0</v>
      </c>
      <c r="T153">
        <v>0</v>
      </c>
      <c r="U153">
        <v>0</v>
      </c>
      <c r="V153">
        <v>25057.64</v>
      </c>
      <c r="W153">
        <v>0</v>
      </c>
      <c r="X153">
        <v>581173.21</v>
      </c>
      <c r="Y153">
        <v>18312.509999999998</v>
      </c>
      <c r="Z153">
        <v>0</v>
      </c>
      <c r="AA153">
        <v>27762.74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125.69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11504.41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143742.63</v>
      </c>
      <c r="BE153">
        <v>0</v>
      </c>
      <c r="BF153">
        <v>0</v>
      </c>
      <c r="BG153">
        <v>306429.75</v>
      </c>
      <c r="BH153">
        <v>0</v>
      </c>
      <c r="BI153">
        <v>378691.64</v>
      </c>
      <c r="BJ153">
        <v>0</v>
      </c>
      <c r="BK153">
        <v>6244.84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</row>
    <row r="154" spans="1:71" x14ac:dyDescent="0.25">
      <c r="A154" t="s">
        <v>1008</v>
      </c>
      <c r="B154" t="s">
        <v>1009</v>
      </c>
      <c r="C154">
        <v>0</v>
      </c>
      <c r="D154">
        <v>92984.2</v>
      </c>
      <c r="E154">
        <v>0</v>
      </c>
      <c r="F154">
        <v>0</v>
      </c>
      <c r="G154">
        <v>57827.28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18968.78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32589.46</v>
      </c>
      <c r="BE154">
        <v>0</v>
      </c>
      <c r="BF154">
        <v>0</v>
      </c>
      <c r="BG154">
        <v>68980.3</v>
      </c>
      <c r="BH154">
        <v>0</v>
      </c>
      <c r="BI154">
        <v>12422.39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</row>
    <row r="155" spans="1:71" x14ac:dyDescent="0.25">
      <c r="A155" t="s">
        <v>1010</v>
      </c>
      <c r="B155" t="s">
        <v>1011</v>
      </c>
      <c r="C155">
        <v>3420.76</v>
      </c>
      <c r="D155">
        <v>944.56</v>
      </c>
      <c r="E155">
        <v>0</v>
      </c>
      <c r="F155">
        <v>0</v>
      </c>
      <c r="G155">
        <v>188846.03</v>
      </c>
      <c r="H155">
        <v>67223.600000000006</v>
      </c>
      <c r="I155">
        <v>0</v>
      </c>
      <c r="J155">
        <v>0</v>
      </c>
      <c r="K155">
        <v>0</v>
      </c>
      <c r="L155">
        <v>4951.47</v>
      </c>
      <c r="M155">
        <v>0</v>
      </c>
      <c r="N155">
        <v>0</v>
      </c>
      <c r="O155">
        <v>0</v>
      </c>
      <c r="P155">
        <v>0</v>
      </c>
      <c r="Q155">
        <v>87101.25</v>
      </c>
      <c r="R155">
        <v>0</v>
      </c>
      <c r="S155">
        <v>1849</v>
      </c>
      <c r="T155">
        <v>0</v>
      </c>
      <c r="U155">
        <v>0</v>
      </c>
      <c r="V155">
        <v>4190.01</v>
      </c>
      <c r="W155">
        <v>0</v>
      </c>
      <c r="X155">
        <v>13198.12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30107.71</v>
      </c>
      <c r="BE155">
        <v>0</v>
      </c>
      <c r="BF155">
        <v>0</v>
      </c>
      <c r="BG155">
        <v>4139.8599999999997</v>
      </c>
      <c r="BH155">
        <v>0</v>
      </c>
      <c r="BI155">
        <v>53361.7</v>
      </c>
      <c r="BJ155">
        <v>0</v>
      </c>
      <c r="BK155">
        <v>0</v>
      </c>
      <c r="BL155">
        <v>0</v>
      </c>
      <c r="BM155">
        <v>467.55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</row>
    <row r="156" spans="1:71" x14ac:dyDescent="0.25">
      <c r="A156" t="s">
        <v>1012</v>
      </c>
      <c r="B156" t="s">
        <v>1013</v>
      </c>
      <c r="C156">
        <v>11114</v>
      </c>
      <c r="D156">
        <v>31283.41</v>
      </c>
      <c r="E156">
        <v>0</v>
      </c>
      <c r="F156">
        <v>4376.03</v>
      </c>
      <c r="G156">
        <v>57224.89</v>
      </c>
      <c r="H156">
        <v>68738.19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434.2</v>
      </c>
      <c r="W156">
        <v>0</v>
      </c>
      <c r="X156">
        <v>42037.62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35441.86</v>
      </c>
      <c r="BE156">
        <v>0</v>
      </c>
      <c r="BF156">
        <v>0</v>
      </c>
      <c r="BG156">
        <v>68778.41</v>
      </c>
      <c r="BH156">
        <v>0</v>
      </c>
      <c r="BI156">
        <v>7045.05</v>
      </c>
      <c r="BJ156">
        <v>0</v>
      </c>
      <c r="BK156">
        <v>0</v>
      </c>
      <c r="BL156">
        <v>0</v>
      </c>
      <c r="BM156">
        <v>5337.9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</row>
    <row r="157" spans="1:71" x14ac:dyDescent="0.25">
      <c r="A157" t="s">
        <v>1014</v>
      </c>
      <c r="B157" t="s">
        <v>1015</v>
      </c>
      <c r="C157">
        <v>0</v>
      </c>
      <c r="D157">
        <v>0</v>
      </c>
      <c r="E157">
        <v>0</v>
      </c>
      <c r="F157">
        <v>0</v>
      </c>
      <c r="G157">
        <v>66780.740000000005</v>
      </c>
      <c r="H157">
        <v>30791.5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678.09</v>
      </c>
      <c r="W157">
        <v>0</v>
      </c>
      <c r="X157">
        <v>0</v>
      </c>
      <c r="Y157">
        <v>106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19152.47</v>
      </c>
      <c r="BE157">
        <v>0</v>
      </c>
      <c r="BF157">
        <v>0</v>
      </c>
      <c r="BG157">
        <v>4679.68</v>
      </c>
      <c r="BH157">
        <v>0</v>
      </c>
      <c r="BI157">
        <v>525.54999999999995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</row>
    <row r="158" spans="1:71" x14ac:dyDescent="0.25">
      <c r="A158" t="s">
        <v>1016</v>
      </c>
      <c r="B158" t="s">
        <v>1017</v>
      </c>
      <c r="C158">
        <v>916.47</v>
      </c>
      <c r="D158">
        <v>26228.03</v>
      </c>
      <c r="E158">
        <v>0</v>
      </c>
      <c r="F158">
        <v>304.95</v>
      </c>
      <c r="G158">
        <v>15387.98</v>
      </c>
      <c r="H158">
        <v>0</v>
      </c>
      <c r="I158">
        <v>0</v>
      </c>
      <c r="J158">
        <v>0</v>
      </c>
      <c r="K158">
        <v>0</v>
      </c>
      <c r="L158">
        <v>8785</v>
      </c>
      <c r="M158">
        <v>0</v>
      </c>
      <c r="N158">
        <v>0</v>
      </c>
      <c r="O158">
        <v>0</v>
      </c>
      <c r="P158">
        <v>0</v>
      </c>
      <c r="Q158">
        <v>212075.78</v>
      </c>
      <c r="R158">
        <v>0</v>
      </c>
      <c r="S158">
        <v>0</v>
      </c>
      <c r="T158">
        <v>0</v>
      </c>
      <c r="U158">
        <v>0</v>
      </c>
      <c r="V158">
        <v>1612.09</v>
      </c>
      <c r="W158">
        <v>0</v>
      </c>
      <c r="X158">
        <v>2.94</v>
      </c>
      <c r="Y158">
        <v>0</v>
      </c>
      <c r="Z158">
        <v>0</v>
      </c>
      <c r="AA158">
        <v>651.63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10905.81</v>
      </c>
      <c r="BE158">
        <v>0</v>
      </c>
      <c r="BF158">
        <v>0</v>
      </c>
      <c r="BG158">
        <v>7146.24</v>
      </c>
      <c r="BH158">
        <v>0</v>
      </c>
      <c r="BI158">
        <v>18728.59</v>
      </c>
      <c r="BJ158">
        <v>0</v>
      </c>
      <c r="BK158">
        <v>0</v>
      </c>
      <c r="BL158">
        <v>0</v>
      </c>
      <c r="BM158">
        <v>72060.78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</row>
    <row r="159" spans="1:71" x14ac:dyDescent="0.25">
      <c r="A159" t="s">
        <v>667</v>
      </c>
      <c r="B159" t="s">
        <v>1018</v>
      </c>
      <c r="C159">
        <v>22368.57</v>
      </c>
      <c r="D159">
        <v>0</v>
      </c>
      <c r="E159">
        <v>0</v>
      </c>
      <c r="F159">
        <v>29074.400000000001</v>
      </c>
      <c r="G159">
        <v>685.15</v>
      </c>
      <c r="H159">
        <v>1473.21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566.73</v>
      </c>
      <c r="W159">
        <v>0</v>
      </c>
      <c r="X159">
        <v>12200.69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23858.04</v>
      </c>
      <c r="BE159">
        <v>0</v>
      </c>
      <c r="BF159">
        <v>0</v>
      </c>
      <c r="BG159">
        <v>70810.5</v>
      </c>
      <c r="BH159">
        <v>14.67</v>
      </c>
      <c r="BI159">
        <v>35328.22</v>
      </c>
      <c r="BJ159">
        <v>0</v>
      </c>
      <c r="BK159">
        <v>2726.21</v>
      </c>
      <c r="BL159">
        <v>0</v>
      </c>
      <c r="BM159">
        <v>7679.31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2944.6</v>
      </c>
    </row>
    <row r="160" spans="1:71" x14ac:dyDescent="0.25">
      <c r="A160" t="s">
        <v>1019</v>
      </c>
      <c r="B160" t="s">
        <v>1020</v>
      </c>
      <c r="C160">
        <v>0</v>
      </c>
      <c r="D160">
        <v>120132.53</v>
      </c>
      <c r="E160">
        <v>0</v>
      </c>
      <c r="F160">
        <v>0</v>
      </c>
      <c r="G160">
        <v>0</v>
      </c>
      <c r="H160">
        <v>162034.20000000001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333423.28000000003</v>
      </c>
      <c r="R160">
        <v>0</v>
      </c>
      <c r="S160">
        <v>0</v>
      </c>
      <c r="T160">
        <v>0</v>
      </c>
      <c r="U160">
        <v>0</v>
      </c>
      <c r="V160">
        <v>10645.27</v>
      </c>
      <c r="W160">
        <v>0</v>
      </c>
      <c r="X160">
        <v>149026.32999999999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81548.62</v>
      </c>
      <c r="BE160">
        <v>0</v>
      </c>
      <c r="BF160">
        <v>0</v>
      </c>
      <c r="BG160">
        <v>44258.51</v>
      </c>
      <c r="BH160">
        <v>0</v>
      </c>
      <c r="BI160">
        <v>103520.38</v>
      </c>
      <c r="BJ160">
        <v>0</v>
      </c>
      <c r="BK160">
        <v>0</v>
      </c>
      <c r="BL160">
        <v>0</v>
      </c>
      <c r="BM160">
        <v>278776.82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</row>
    <row r="161" spans="1:71" x14ac:dyDescent="0.25">
      <c r="A161" t="s">
        <v>689</v>
      </c>
      <c r="B161" t="s">
        <v>1021</v>
      </c>
      <c r="C161">
        <v>0</v>
      </c>
      <c r="D161">
        <v>332979.12</v>
      </c>
      <c r="E161">
        <v>0</v>
      </c>
      <c r="F161">
        <v>21830.87</v>
      </c>
      <c r="G161">
        <v>201937.99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90524.01</v>
      </c>
      <c r="R161">
        <v>0</v>
      </c>
      <c r="S161">
        <v>0</v>
      </c>
      <c r="T161">
        <v>0</v>
      </c>
      <c r="U161">
        <v>0</v>
      </c>
      <c r="V161">
        <v>2380.1999999999998</v>
      </c>
      <c r="W161">
        <v>0</v>
      </c>
      <c r="X161">
        <v>82127.179999999993</v>
      </c>
      <c r="Y161">
        <v>0</v>
      </c>
      <c r="Z161">
        <v>500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39865.72</v>
      </c>
      <c r="BE161">
        <v>0</v>
      </c>
      <c r="BF161">
        <v>0</v>
      </c>
      <c r="BG161">
        <v>167554.43</v>
      </c>
      <c r="BH161">
        <v>0</v>
      </c>
      <c r="BI161">
        <v>233559.03</v>
      </c>
      <c r="BJ161">
        <v>0</v>
      </c>
      <c r="BK161">
        <v>0</v>
      </c>
      <c r="BL161">
        <v>0</v>
      </c>
      <c r="BM161">
        <v>6334.75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</row>
    <row r="162" spans="1:71" x14ac:dyDescent="0.25">
      <c r="A162" t="s">
        <v>1022</v>
      </c>
      <c r="B162" t="s">
        <v>1023</v>
      </c>
      <c r="C162">
        <v>0</v>
      </c>
      <c r="D162">
        <v>21637.5</v>
      </c>
      <c r="E162">
        <v>0</v>
      </c>
      <c r="F162">
        <v>0</v>
      </c>
      <c r="G162">
        <v>12971.18</v>
      </c>
      <c r="H162">
        <v>2130.25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11875.29</v>
      </c>
      <c r="R162">
        <v>0</v>
      </c>
      <c r="S162">
        <v>0</v>
      </c>
      <c r="T162">
        <v>0</v>
      </c>
      <c r="U162">
        <v>0</v>
      </c>
      <c r="V162">
        <v>1504.94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2500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29153.439999999999</v>
      </c>
      <c r="BE162">
        <v>0</v>
      </c>
      <c r="BF162">
        <v>0</v>
      </c>
      <c r="BG162">
        <v>26578.19</v>
      </c>
      <c r="BH162">
        <v>0</v>
      </c>
      <c r="BI162">
        <v>19587.599999999999</v>
      </c>
      <c r="BJ162">
        <v>0</v>
      </c>
      <c r="BK162">
        <v>857.96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</row>
    <row r="163" spans="1:71" x14ac:dyDescent="0.25">
      <c r="A163" t="s">
        <v>1024</v>
      </c>
      <c r="B163" t="s">
        <v>1025</v>
      </c>
      <c r="C163">
        <v>0</v>
      </c>
      <c r="D163">
        <v>1867</v>
      </c>
      <c r="E163">
        <v>0</v>
      </c>
      <c r="F163">
        <v>0</v>
      </c>
      <c r="G163">
        <v>15658.69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11017.74</v>
      </c>
      <c r="Y163">
        <v>0</v>
      </c>
      <c r="Z163">
        <v>0</v>
      </c>
      <c r="AA163">
        <v>48640.53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19638.560000000001</v>
      </c>
      <c r="BE163">
        <v>0</v>
      </c>
      <c r="BF163">
        <v>0</v>
      </c>
      <c r="BG163">
        <v>38872.449999999997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359.59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</row>
    <row r="164" spans="1:71" x14ac:dyDescent="0.25">
      <c r="A164" t="s">
        <v>1026</v>
      </c>
      <c r="B164" t="s">
        <v>1027</v>
      </c>
      <c r="C164">
        <v>0</v>
      </c>
      <c r="D164">
        <v>0</v>
      </c>
      <c r="E164">
        <v>0</v>
      </c>
      <c r="F164">
        <v>0</v>
      </c>
      <c r="G164">
        <v>118447.43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342633.76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54977.03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8951.09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</row>
    <row r="165" spans="1:71" x14ac:dyDescent="0.25">
      <c r="A165" t="s">
        <v>1028</v>
      </c>
      <c r="B165" t="s">
        <v>1029</v>
      </c>
      <c r="C165">
        <v>28975.14</v>
      </c>
      <c r="D165">
        <v>685.8</v>
      </c>
      <c r="E165">
        <v>0</v>
      </c>
      <c r="F165">
        <v>0</v>
      </c>
      <c r="G165">
        <v>94955.27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49124.26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687.69</v>
      </c>
      <c r="Y165">
        <v>0</v>
      </c>
      <c r="Z165">
        <v>0</v>
      </c>
      <c r="AA165">
        <v>38804.22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9573.1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4277.1899999999996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</row>
    <row r="166" spans="1:71" x14ac:dyDescent="0.25">
      <c r="A166" t="s">
        <v>1030</v>
      </c>
      <c r="B166" t="s">
        <v>1031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16063.29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2943.7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64804.25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22722.27</v>
      </c>
      <c r="BE166">
        <v>0</v>
      </c>
      <c r="BF166">
        <v>0</v>
      </c>
      <c r="BG166">
        <v>8591.7199999999993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4074.49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300</v>
      </c>
    </row>
    <row r="167" spans="1:71" x14ac:dyDescent="0.25">
      <c r="A167" t="s">
        <v>1032</v>
      </c>
      <c r="B167" t="s">
        <v>1033</v>
      </c>
      <c r="C167">
        <v>0</v>
      </c>
      <c r="D167">
        <v>0</v>
      </c>
      <c r="E167">
        <v>0</v>
      </c>
      <c r="F167">
        <v>0</v>
      </c>
      <c r="G167">
        <v>14790.89</v>
      </c>
      <c r="H167">
        <v>32401.84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47581.83</v>
      </c>
      <c r="R167">
        <v>0</v>
      </c>
      <c r="S167">
        <v>0</v>
      </c>
      <c r="T167">
        <v>0</v>
      </c>
      <c r="U167">
        <v>0</v>
      </c>
      <c r="V167">
        <v>557.79999999999995</v>
      </c>
      <c r="W167">
        <v>0</v>
      </c>
      <c r="X167">
        <v>5508.24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10935.87</v>
      </c>
      <c r="BE167">
        <v>0</v>
      </c>
      <c r="BF167">
        <v>0</v>
      </c>
      <c r="BG167">
        <v>2113.2199999999998</v>
      </c>
      <c r="BH167">
        <v>0</v>
      </c>
      <c r="BI167">
        <v>3634.44</v>
      </c>
      <c r="BJ167">
        <v>0</v>
      </c>
      <c r="BK167">
        <v>0</v>
      </c>
      <c r="BL167">
        <v>0</v>
      </c>
      <c r="BM167">
        <v>4700.49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20860.330000000002</v>
      </c>
    </row>
    <row r="168" spans="1:71" x14ac:dyDescent="0.25">
      <c r="A168" t="s">
        <v>1034</v>
      </c>
      <c r="B168" t="s">
        <v>1035</v>
      </c>
      <c r="C168">
        <v>21228.74</v>
      </c>
      <c r="D168">
        <v>62001.73</v>
      </c>
      <c r="E168">
        <v>0</v>
      </c>
      <c r="F168">
        <v>590.5</v>
      </c>
      <c r="G168">
        <v>109588.57</v>
      </c>
      <c r="H168">
        <v>81890.47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158870.68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37068.79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10970.09</v>
      </c>
      <c r="BE168">
        <v>0</v>
      </c>
      <c r="BF168">
        <v>0</v>
      </c>
      <c r="BG168">
        <v>5476.39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4607.1499999999996</v>
      </c>
    </row>
    <row r="169" spans="1:71" x14ac:dyDescent="0.25">
      <c r="A169" t="s">
        <v>1036</v>
      </c>
      <c r="B169" t="s">
        <v>1037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45592.47</v>
      </c>
      <c r="BE169">
        <v>0</v>
      </c>
      <c r="BF169">
        <v>0</v>
      </c>
      <c r="BG169">
        <v>31774.41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9012.2800000000007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</row>
    <row r="170" spans="1:71" x14ac:dyDescent="0.25">
      <c r="A170" t="s">
        <v>1038</v>
      </c>
      <c r="B170" t="s">
        <v>1039</v>
      </c>
      <c r="C170">
        <v>0</v>
      </c>
      <c r="D170">
        <v>17267.41</v>
      </c>
      <c r="E170">
        <v>0</v>
      </c>
      <c r="F170">
        <v>11017.5</v>
      </c>
      <c r="G170">
        <v>23810.15</v>
      </c>
      <c r="H170">
        <v>41413.78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4074.53</v>
      </c>
      <c r="R170">
        <v>0</v>
      </c>
      <c r="S170">
        <v>0</v>
      </c>
      <c r="T170">
        <v>0</v>
      </c>
      <c r="U170">
        <v>0</v>
      </c>
      <c r="V170">
        <v>287.08999999999997</v>
      </c>
      <c r="W170">
        <v>0</v>
      </c>
      <c r="X170">
        <v>14724.56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8905.66</v>
      </c>
      <c r="BE170">
        <v>0</v>
      </c>
      <c r="BF170">
        <v>0</v>
      </c>
      <c r="BG170">
        <v>35681.339999999997</v>
      </c>
      <c r="BH170">
        <v>0</v>
      </c>
      <c r="BI170">
        <v>8610.82</v>
      </c>
      <c r="BJ170">
        <v>0</v>
      </c>
      <c r="BK170">
        <v>0</v>
      </c>
      <c r="BL170">
        <v>0</v>
      </c>
      <c r="BM170">
        <v>2652.11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</row>
    <row r="171" spans="1:71" x14ac:dyDescent="0.25">
      <c r="A171" t="s">
        <v>1040</v>
      </c>
      <c r="B171" t="s">
        <v>1041</v>
      </c>
      <c r="C171">
        <v>0</v>
      </c>
      <c r="D171">
        <v>0</v>
      </c>
      <c r="E171">
        <v>0</v>
      </c>
      <c r="F171">
        <v>201483.37</v>
      </c>
      <c r="G171">
        <v>217637.5</v>
      </c>
      <c r="H171">
        <v>20711.38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424223.37</v>
      </c>
      <c r="R171">
        <v>0</v>
      </c>
      <c r="S171">
        <v>0</v>
      </c>
      <c r="T171">
        <v>0</v>
      </c>
      <c r="U171">
        <v>0</v>
      </c>
      <c r="V171">
        <v>1361.24</v>
      </c>
      <c r="W171">
        <v>0</v>
      </c>
      <c r="X171">
        <v>97203.44</v>
      </c>
      <c r="Y171">
        <v>1961.94</v>
      </c>
      <c r="Z171">
        <v>2250</v>
      </c>
      <c r="AA171">
        <v>0</v>
      </c>
      <c r="AB171">
        <v>3259.13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12590.66</v>
      </c>
      <c r="BE171">
        <v>0</v>
      </c>
      <c r="BF171">
        <v>0</v>
      </c>
      <c r="BG171">
        <v>122887.64</v>
      </c>
      <c r="BH171">
        <v>0</v>
      </c>
      <c r="BI171">
        <v>103806.31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</row>
    <row r="172" spans="1:71" x14ac:dyDescent="0.25">
      <c r="A172" t="s">
        <v>1042</v>
      </c>
      <c r="B172" t="s">
        <v>1043</v>
      </c>
      <c r="C172">
        <v>3717</v>
      </c>
      <c r="D172">
        <v>4</v>
      </c>
      <c r="E172">
        <v>0</v>
      </c>
      <c r="F172">
        <v>0</v>
      </c>
      <c r="G172">
        <v>15670.2</v>
      </c>
      <c r="H172">
        <v>0</v>
      </c>
      <c r="I172">
        <v>0</v>
      </c>
      <c r="J172">
        <v>0</v>
      </c>
      <c r="K172">
        <v>7327</v>
      </c>
      <c r="L172">
        <v>49440.67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47136.32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27176.23</v>
      </c>
      <c r="BE172">
        <v>0</v>
      </c>
      <c r="BF172">
        <v>0</v>
      </c>
      <c r="BG172">
        <v>32237.96</v>
      </c>
      <c r="BH172">
        <v>0</v>
      </c>
      <c r="BI172">
        <v>25784.66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</row>
    <row r="173" spans="1:71" x14ac:dyDescent="0.25">
      <c r="A173" t="s">
        <v>1044</v>
      </c>
      <c r="B173" t="s">
        <v>1045</v>
      </c>
      <c r="C173">
        <v>0</v>
      </c>
      <c r="D173">
        <v>60614.23</v>
      </c>
      <c r="E173">
        <v>0</v>
      </c>
      <c r="F173">
        <v>0</v>
      </c>
      <c r="G173">
        <v>123780.15</v>
      </c>
      <c r="H173">
        <v>585152.62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13917.03</v>
      </c>
      <c r="W173">
        <v>0</v>
      </c>
      <c r="X173">
        <v>180236.32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104270.66</v>
      </c>
      <c r="BE173">
        <v>0</v>
      </c>
      <c r="BF173">
        <v>0</v>
      </c>
      <c r="BG173">
        <v>345814.15</v>
      </c>
      <c r="BH173">
        <v>0</v>
      </c>
      <c r="BI173">
        <v>291254.68</v>
      </c>
      <c r="BJ173">
        <v>0</v>
      </c>
      <c r="BK173">
        <v>14578.11</v>
      </c>
      <c r="BL173">
        <v>0</v>
      </c>
      <c r="BM173">
        <v>73425.08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</row>
    <row r="174" spans="1:71" x14ac:dyDescent="0.25">
      <c r="A174" t="s">
        <v>1046</v>
      </c>
      <c r="B174" t="s">
        <v>1047</v>
      </c>
      <c r="C174">
        <v>0</v>
      </c>
      <c r="D174">
        <v>15305.32</v>
      </c>
      <c r="E174">
        <v>0</v>
      </c>
      <c r="F174">
        <v>0</v>
      </c>
      <c r="G174">
        <v>29387.11</v>
      </c>
      <c r="H174">
        <v>0</v>
      </c>
      <c r="I174">
        <v>22609.85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51369.67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53413.87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4360.7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7405.71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4501.6099999999997</v>
      </c>
    </row>
    <row r="175" spans="1:71" x14ac:dyDescent="0.25">
      <c r="A175" t="s">
        <v>1048</v>
      </c>
      <c r="B175" t="s">
        <v>1049</v>
      </c>
      <c r="C175">
        <v>0</v>
      </c>
      <c r="D175">
        <v>34050.76</v>
      </c>
      <c r="E175">
        <v>0</v>
      </c>
      <c r="F175">
        <v>0</v>
      </c>
      <c r="G175">
        <v>35890.160000000003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720.2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19707.05</v>
      </c>
      <c r="BE175">
        <v>0</v>
      </c>
      <c r="BF175">
        <v>0</v>
      </c>
      <c r="BG175">
        <v>8965.7099999999991</v>
      </c>
      <c r="BH175">
        <v>0</v>
      </c>
      <c r="BI175">
        <v>0</v>
      </c>
      <c r="BJ175">
        <v>0</v>
      </c>
      <c r="BK175">
        <v>3368.58</v>
      </c>
      <c r="BL175">
        <v>0</v>
      </c>
      <c r="BM175">
        <v>4542.1400000000003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26662.400000000001</v>
      </c>
    </row>
    <row r="176" spans="1:71" x14ac:dyDescent="0.25">
      <c r="A176" t="s">
        <v>1050</v>
      </c>
      <c r="B176" t="s">
        <v>1051</v>
      </c>
      <c r="C176">
        <v>0</v>
      </c>
      <c r="D176">
        <v>1910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27436.959999999999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1214.27</v>
      </c>
      <c r="Y176">
        <v>0</v>
      </c>
      <c r="Z176">
        <v>0</v>
      </c>
      <c r="AA176">
        <v>8971.69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29250.9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</row>
    <row r="177" spans="1:71" x14ac:dyDescent="0.25">
      <c r="A177" t="s">
        <v>1052</v>
      </c>
      <c r="B177" t="s">
        <v>1053</v>
      </c>
      <c r="C177">
        <v>0</v>
      </c>
      <c r="D177">
        <v>220.04</v>
      </c>
      <c r="E177">
        <v>0</v>
      </c>
      <c r="F177">
        <v>66182.28</v>
      </c>
      <c r="G177">
        <v>0</v>
      </c>
      <c r="H177">
        <v>32191.29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62738.65</v>
      </c>
      <c r="R177">
        <v>0</v>
      </c>
      <c r="S177">
        <v>0</v>
      </c>
      <c r="T177">
        <v>0</v>
      </c>
      <c r="U177">
        <v>0</v>
      </c>
      <c r="V177">
        <v>535.86</v>
      </c>
      <c r="W177">
        <v>0</v>
      </c>
      <c r="X177">
        <v>2219.48</v>
      </c>
      <c r="Y177">
        <v>0</v>
      </c>
      <c r="Z177">
        <v>0</v>
      </c>
      <c r="AA177">
        <v>27402.1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4621.62</v>
      </c>
      <c r="BE177">
        <v>0</v>
      </c>
      <c r="BF177">
        <v>0</v>
      </c>
      <c r="BG177">
        <v>44.4</v>
      </c>
      <c r="BH177">
        <v>0</v>
      </c>
      <c r="BI177">
        <v>18628.009999999998</v>
      </c>
      <c r="BJ177">
        <v>0</v>
      </c>
      <c r="BK177">
        <v>0</v>
      </c>
      <c r="BL177">
        <v>0</v>
      </c>
      <c r="BM177">
        <v>4202.34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</row>
    <row r="178" spans="1:71" x14ac:dyDescent="0.25">
      <c r="A178" t="s">
        <v>1054</v>
      </c>
      <c r="B178" t="s">
        <v>1055</v>
      </c>
      <c r="C178">
        <v>2744</v>
      </c>
      <c r="D178">
        <v>0</v>
      </c>
      <c r="E178">
        <v>0</v>
      </c>
      <c r="F178">
        <v>5869</v>
      </c>
      <c r="G178">
        <v>5893.35</v>
      </c>
      <c r="H178">
        <v>56046.92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15552.78</v>
      </c>
      <c r="R178">
        <v>0</v>
      </c>
      <c r="S178">
        <v>0</v>
      </c>
      <c r="T178">
        <v>0</v>
      </c>
      <c r="U178">
        <v>0</v>
      </c>
      <c r="V178">
        <v>491.9</v>
      </c>
      <c r="W178">
        <v>0</v>
      </c>
      <c r="X178">
        <v>4672.08</v>
      </c>
      <c r="Y178">
        <v>820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22134.87</v>
      </c>
      <c r="BE178">
        <v>0</v>
      </c>
      <c r="BF178">
        <v>0</v>
      </c>
      <c r="BG178">
        <v>8034.59</v>
      </c>
      <c r="BH178">
        <v>0</v>
      </c>
      <c r="BI178">
        <v>4378.51</v>
      </c>
      <c r="BJ178">
        <v>0</v>
      </c>
      <c r="BK178">
        <v>664.73</v>
      </c>
      <c r="BL178">
        <v>0</v>
      </c>
      <c r="BM178">
        <v>5281.96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</row>
    <row r="179" spans="1:71" x14ac:dyDescent="0.25">
      <c r="A179" t="s">
        <v>1056</v>
      </c>
      <c r="B179" t="s">
        <v>1057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103473.62</v>
      </c>
      <c r="R179">
        <v>0</v>
      </c>
      <c r="S179">
        <v>0</v>
      </c>
      <c r="T179">
        <v>0</v>
      </c>
      <c r="U179">
        <v>0</v>
      </c>
      <c r="V179">
        <v>2533.3000000000002</v>
      </c>
      <c r="W179">
        <v>0</v>
      </c>
      <c r="X179">
        <v>12685.88</v>
      </c>
      <c r="Y179">
        <v>0</v>
      </c>
      <c r="Z179">
        <v>0</v>
      </c>
      <c r="AA179">
        <v>0</v>
      </c>
      <c r="AB179">
        <v>758.19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9059.6200000000008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4329.54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</row>
    <row r="180" spans="1:71" x14ac:dyDescent="0.25">
      <c r="A180" t="s">
        <v>1058</v>
      </c>
      <c r="B180" t="s">
        <v>1059</v>
      </c>
      <c r="C180">
        <v>1294</v>
      </c>
      <c r="D180">
        <v>36747.26</v>
      </c>
      <c r="E180">
        <v>0</v>
      </c>
      <c r="F180">
        <v>0</v>
      </c>
      <c r="G180">
        <v>0</v>
      </c>
      <c r="H180">
        <v>2009.01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18123.09</v>
      </c>
      <c r="R180">
        <v>0</v>
      </c>
      <c r="S180">
        <v>0</v>
      </c>
      <c r="T180">
        <v>0</v>
      </c>
      <c r="U180">
        <v>0</v>
      </c>
      <c r="V180">
        <v>805.67</v>
      </c>
      <c r="W180">
        <v>0</v>
      </c>
      <c r="X180">
        <v>2360.9499999999998</v>
      </c>
      <c r="Y180">
        <v>0</v>
      </c>
      <c r="Z180">
        <v>1500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4000</v>
      </c>
      <c r="BB180">
        <v>0</v>
      </c>
      <c r="BC180">
        <v>0</v>
      </c>
      <c r="BD180">
        <v>29261.03</v>
      </c>
      <c r="BE180">
        <v>0</v>
      </c>
      <c r="BF180">
        <v>0</v>
      </c>
      <c r="BG180">
        <v>44197.54</v>
      </c>
      <c r="BH180">
        <v>0</v>
      </c>
      <c r="BI180">
        <v>25563.27</v>
      </c>
      <c r="BJ180">
        <v>0</v>
      </c>
      <c r="BK180">
        <v>2144.1</v>
      </c>
      <c r="BL180">
        <v>0</v>
      </c>
      <c r="BM180">
        <v>6715.23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1583.36</v>
      </c>
    </row>
    <row r="181" spans="1:71" x14ac:dyDescent="0.25">
      <c r="A181" t="s">
        <v>1060</v>
      </c>
      <c r="B181" t="s">
        <v>1061</v>
      </c>
      <c r="C181">
        <v>1334</v>
      </c>
      <c r="D181">
        <v>0</v>
      </c>
      <c r="E181">
        <v>0</v>
      </c>
      <c r="F181">
        <v>458.67</v>
      </c>
      <c r="G181">
        <v>0</v>
      </c>
      <c r="H181">
        <v>4736.09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161675.01</v>
      </c>
      <c r="R181">
        <v>0</v>
      </c>
      <c r="S181">
        <v>0</v>
      </c>
      <c r="T181">
        <v>0</v>
      </c>
      <c r="U181">
        <v>0</v>
      </c>
      <c r="V181">
        <v>403.2</v>
      </c>
      <c r="W181">
        <v>0</v>
      </c>
      <c r="X181">
        <v>0</v>
      </c>
      <c r="Y181">
        <v>0</v>
      </c>
      <c r="Z181">
        <v>0</v>
      </c>
      <c r="AA181">
        <v>312.99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7083.09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24037.99</v>
      </c>
      <c r="BE181">
        <v>0</v>
      </c>
      <c r="BF181">
        <v>0</v>
      </c>
      <c r="BG181">
        <v>48589.39</v>
      </c>
      <c r="BH181">
        <v>0</v>
      </c>
      <c r="BI181">
        <v>15243.83</v>
      </c>
      <c r="BJ181">
        <v>0</v>
      </c>
      <c r="BK181">
        <v>0</v>
      </c>
      <c r="BL181">
        <v>0</v>
      </c>
      <c r="BM181">
        <v>6755.79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12584.8</v>
      </c>
    </row>
    <row r="182" spans="1:71" x14ac:dyDescent="0.25">
      <c r="A182" t="s">
        <v>1062</v>
      </c>
      <c r="B182" t="s">
        <v>1063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3900</v>
      </c>
      <c r="W182">
        <v>0</v>
      </c>
      <c r="X182">
        <v>32379.46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13591.46</v>
      </c>
      <c r="BE182">
        <v>0</v>
      </c>
      <c r="BF182">
        <v>0</v>
      </c>
      <c r="BG182">
        <v>34769.58</v>
      </c>
      <c r="BH182">
        <v>0</v>
      </c>
      <c r="BI182">
        <v>31231.040000000001</v>
      </c>
      <c r="BJ182">
        <v>0</v>
      </c>
      <c r="BK182">
        <v>0</v>
      </c>
      <c r="BL182">
        <v>0</v>
      </c>
      <c r="BM182">
        <v>5980.72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25160.93</v>
      </c>
    </row>
    <row r="183" spans="1:71" x14ac:dyDescent="0.25">
      <c r="A183" t="s">
        <v>1064</v>
      </c>
      <c r="B183" t="s">
        <v>1065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344674.93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1753.34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27705.78</v>
      </c>
      <c r="BE183">
        <v>0</v>
      </c>
      <c r="BF183">
        <v>0</v>
      </c>
      <c r="BG183">
        <v>79337.77</v>
      </c>
      <c r="BH183">
        <v>0</v>
      </c>
      <c r="BI183">
        <v>11710.48</v>
      </c>
      <c r="BJ183">
        <v>0</v>
      </c>
      <c r="BK183">
        <v>0</v>
      </c>
      <c r="BL183">
        <v>0</v>
      </c>
      <c r="BM183">
        <v>7463.95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</row>
    <row r="184" spans="1:71" x14ac:dyDescent="0.25">
      <c r="A184" t="s">
        <v>1066</v>
      </c>
      <c r="B184" t="s">
        <v>1067</v>
      </c>
      <c r="C184">
        <v>15399.79</v>
      </c>
      <c r="D184">
        <v>25903.14</v>
      </c>
      <c r="E184">
        <v>0</v>
      </c>
      <c r="F184">
        <v>5595.51</v>
      </c>
      <c r="G184">
        <v>1047.5899999999999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88055.66</v>
      </c>
      <c r="R184">
        <v>0</v>
      </c>
      <c r="S184">
        <v>0</v>
      </c>
      <c r="T184">
        <v>0</v>
      </c>
      <c r="U184">
        <v>0</v>
      </c>
      <c r="V184">
        <v>5535.85</v>
      </c>
      <c r="W184">
        <v>0</v>
      </c>
      <c r="X184">
        <v>687.73</v>
      </c>
      <c r="Y184">
        <v>0</v>
      </c>
      <c r="Z184">
        <v>0</v>
      </c>
      <c r="AA184">
        <v>0</v>
      </c>
      <c r="AB184">
        <v>3.58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39256.21</v>
      </c>
      <c r="BE184">
        <v>0</v>
      </c>
      <c r="BF184">
        <v>0</v>
      </c>
      <c r="BG184">
        <v>66446.289999999994</v>
      </c>
      <c r="BH184">
        <v>0</v>
      </c>
      <c r="BI184">
        <v>28441.42</v>
      </c>
      <c r="BJ184">
        <v>0</v>
      </c>
      <c r="BK184">
        <v>0</v>
      </c>
      <c r="BL184">
        <v>0</v>
      </c>
      <c r="BM184">
        <v>6025.24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</row>
    <row r="185" spans="1:71" x14ac:dyDescent="0.25">
      <c r="A185" t="s">
        <v>1068</v>
      </c>
      <c r="B185" t="s">
        <v>1069</v>
      </c>
      <c r="C185">
        <v>10997.16</v>
      </c>
      <c r="D185">
        <v>20322.16</v>
      </c>
      <c r="E185">
        <v>0</v>
      </c>
      <c r="F185">
        <v>0</v>
      </c>
      <c r="G185">
        <v>0</v>
      </c>
      <c r="H185">
        <v>17095.669999999998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160305.87</v>
      </c>
      <c r="R185">
        <v>0</v>
      </c>
      <c r="S185">
        <v>0</v>
      </c>
      <c r="T185">
        <v>0</v>
      </c>
      <c r="U185">
        <v>0</v>
      </c>
      <c r="V185">
        <v>1397.81</v>
      </c>
      <c r="W185">
        <v>0</v>
      </c>
      <c r="X185">
        <v>138179.47</v>
      </c>
      <c r="Y185">
        <v>4024.03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2090.91</v>
      </c>
      <c r="BE185">
        <v>0</v>
      </c>
      <c r="BF185">
        <v>0</v>
      </c>
      <c r="BG185">
        <v>24654.09</v>
      </c>
      <c r="BH185">
        <v>0</v>
      </c>
      <c r="BI185">
        <v>27883.67</v>
      </c>
      <c r="BJ185">
        <v>0</v>
      </c>
      <c r="BK185">
        <v>1548.47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</row>
    <row r="186" spans="1:71" x14ac:dyDescent="0.25">
      <c r="A186" t="s">
        <v>1070</v>
      </c>
      <c r="B186" t="s">
        <v>1071</v>
      </c>
      <c r="C186">
        <v>0</v>
      </c>
      <c r="D186">
        <v>78018.92</v>
      </c>
      <c r="E186">
        <v>0</v>
      </c>
      <c r="F186">
        <v>0</v>
      </c>
      <c r="G186">
        <v>30566.53</v>
      </c>
      <c r="H186">
        <v>20491.03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24583.4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2456.7199999999998</v>
      </c>
      <c r="BA186">
        <v>0</v>
      </c>
      <c r="BB186">
        <v>0</v>
      </c>
      <c r="BC186">
        <v>0</v>
      </c>
      <c r="BD186">
        <v>23478.79</v>
      </c>
      <c r="BE186">
        <v>0</v>
      </c>
      <c r="BF186">
        <v>0</v>
      </c>
      <c r="BG186">
        <v>30945.040000000001</v>
      </c>
      <c r="BH186">
        <v>0</v>
      </c>
      <c r="BI186">
        <v>42263.24</v>
      </c>
      <c r="BJ186">
        <v>0</v>
      </c>
      <c r="BK186">
        <v>0</v>
      </c>
      <c r="BL186">
        <v>0</v>
      </c>
      <c r="BM186">
        <v>6674.69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166.51</v>
      </c>
    </row>
    <row r="187" spans="1:71" x14ac:dyDescent="0.25">
      <c r="A187" t="s">
        <v>1072</v>
      </c>
      <c r="B187" t="s">
        <v>1073</v>
      </c>
      <c r="C187">
        <v>0</v>
      </c>
      <c r="D187">
        <v>1043944.29</v>
      </c>
      <c r="E187">
        <v>0</v>
      </c>
      <c r="F187">
        <v>0</v>
      </c>
      <c r="G187">
        <v>83949.46</v>
      </c>
      <c r="H187">
        <v>2569.33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65486.39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96818.67</v>
      </c>
      <c r="Y187">
        <v>0</v>
      </c>
      <c r="Z187">
        <v>0</v>
      </c>
      <c r="AA187">
        <v>0</v>
      </c>
      <c r="AB187">
        <v>2896.67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21431.9</v>
      </c>
      <c r="BE187">
        <v>0</v>
      </c>
      <c r="BF187">
        <v>0</v>
      </c>
      <c r="BG187">
        <v>97430.55</v>
      </c>
      <c r="BH187">
        <v>0</v>
      </c>
      <c r="BI187">
        <v>77249.289999999994</v>
      </c>
      <c r="BJ187">
        <v>0</v>
      </c>
      <c r="BK187">
        <v>673.24</v>
      </c>
      <c r="BL187">
        <v>0</v>
      </c>
      <c r="BM187">
        <v>2502.6799999999998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</row>
    <row r="188" spans="1:71" x14ac:dyDescent="0.25">
      <c r="A188" t="s">
        <v>1074</v>
      </c>
      <c r="B188" t="s">
        <v>1075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384217.28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24230.26</v>
      </c>
      <c r="Y188">
        <v>0</v>
      </c>
      <c r="Z188">
        <v>0</v>
      </c>
      <c r="AA188">
        <v>0</v>
      </c>
      <c r="AB188">
        <v>4199.2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107936.11</v>
      </c>
      <c r="BE188">
        <v>0</v>
      </c>
      <c r="BF188">
        <v>0</v>
      </c>
      <c r="BG188">
        <v>597206.18999999994</v>
      </c>
      <c r="BH188">
        <v>0</v>
      </c>
      <c r="BI188">
        <v>62767.57</v>
      </c>
      <c r="BJ188">
        <v>0</v>
      </c>
      <c r="BK188">
        <v>3830.99</v>
      </c>
      <c r="BL188">
        <v>0</v>
      </c>
      <c r="BM188">
        <v>176398.44</v>
      </c>
      <c r="BN188">
        <v>0</v>
      </c>
      <c r="BO188">
        <v>108149.8</v>
      </c>
      <c r="BP188">
        <v>0</v>
      </c>
      <c r="BQ188">
        <v>0</v>
      </c>
      <c r="BR188">
        <v>0</v>
      </c>
      <c r="BS188">
        <v>1665.03</v>
      </c>
    </row>
    <row r="189" spans="1:71" x14ac:dyDescent="0.25">
      <c r="A189" t="s">
        <v>1076</v>
      </c>
      <c r="B189" t="s">
        <v>1077</v>
      </c>
      <c r="C189">
        <v>0</v>
      </c>
      <c r="D189">
        <v>0</v>
      </c>
      <c r="E189">
        <v>0</v>
      </c>
      <c r="F189">
        <v>44083.17</v>
      </c>
      <c r="G189">
        <v>0</v>
      </c>
      <c r="H189">
        <v>0</v>
      </c>
      <c r="I189">
        <v>0</v>
      </c>
      <c r="J189">
        <v>0</v>
      </c>
      <c r="K189">
        <v>3571.6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4728.05</v>
      </c>
      <c r="W189">
        <v>0</v>
      </c>
      <c r="X189">
        <v>24940.93</v>
      </c>
      <c r="Y189">
        <v>0</v>
      </c>
      <c r="Z189">
        <v>0</v>
      </c>
      <c r="AA189">
        <v>14412.32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26423.62</v>
      </c>
      <c r="BE189">
        <v>0</v>
      </c>
      <c r="BF189">
        <v>0</v>
      </c>
      <c r="BG189">
        <v>7865.99</v>
      </c>
      <c r="BH189">
        <v>0</v>
      </c>
      <c r="BI189">
        <v>56087.15</v>
      </c>
      <c r="BJ189">
        <v>0</v>
      </c>
      <c r="BK189">
        <v>0</v>
      </c>
      <c r="BL189">
        <v>0</v>
      </c>
      <c r="BM189">
        <v>5198.18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</row>
    <row r="190" spans="1:71" x14ac:dyDescent="0.25">
      <c r="A190" t="s">
        <v>1078</v>
      </c>
      <c r="B190" t="s">
        <v>1079</v>
      </c>
      <c r="C190">
        <v>31598.67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188126.59</v>
      </c>
      <c r="R190">
        <v>0</v>
      </c>
      <c r="S190">
        <v>0</v>
      </c>
      <c r="T190">
        <v>0</v>
      </c>
      <c r="U190">
        <v>0</v>
      </c>
      <c r="V190">
        <v>3957.8</v>
      </c>
      <c r="W190">
        <v>0</v>
      </c>
      <c r="X190">
        <v>177920.57</v>
      </c>
      <c r="Y190">
        <v>4746.7700000000004</v>
      </c>
      <c r="Z190">
        <v>0</v>
      </c>
      <c r="AA190">
        <v>0</v>
      </c>
      <c r="AB190">
        <v>30210.87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77496.27</v>
      </c>
      <c r="BE190">
        <v>0</v>
      </c>
      <c r="BF190">
        <v>0</v>
      </c>
      <c r="BG190">
        <v>0</v>
      </c>
      <c r="BH190">
        <v>0</v>
      </c>
      <c r="BI190">
        <v>15185.4</v>
      </c>
      <c r="BJ190">
        <v>0</v>
      </c>
      <c r="BK190">
        <v>9889.81</v>
      </c>
      <c r="BL190">
        <v>0</v>
      </c>
      <c r="BM190">
        <v>7564.72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</row>
    <row r="191" spans="1:71" x14ac:dyDescent="0.25">
      <c r="A191" t="s">
        <v>1080</v>
      </c>
      <c r="B191" t="s">
        <v>1081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143757.07999999999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36005.78</v>
      </c>
      <c r="BE191">
        <v>0</v>
      </c>
      <c r="BF191">
        <v>0</v>
      </c>
      <c r="BG191">
        <v>59405.760000000002</v>
      </c>
      <c r="BH191">
        <v>0</v>
      </c>
      <c r="BI191">
        <v>24319.71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</row>
    <row r="192" spans="1:71" x14ac:dyDescent="0.25">
      <c r="A192" t="s">
        <v>1082</v>
      </c>
      <c r="B192" t="s">
        <v>1083</v>
      </c>
      <c r="C192">
        <v>0</v>
      </c>
      <c r="D192">
        <v>50855.88</v>
      </c>
      <c r="E192">
        <v>0</v>
      </c>
      <c r="F192">
        <v>84518.27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27292.63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29550.93</v>
      </c>
      <c r="BE192">
        <v>0</v>
      </c>
      <c r="BF192">
        <v>0</v>
      </c>
      <c r="BG192">
        <v>49086.81</v>
      </c>
      <c r="BH192">
        <v>0</v>
      </c>
      <c r="BI192">
        <v>62706.06</v>
      </c>
      <c r="BJ192">
        <v>0</v>
      </c>
      <c r="BK192">
        <v>1058.3900000000001</v>
      </c>
      <c r="BL192">
        <v>0</v>
      </c>
      <c r="BM192">
        <v>3572.42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</row>
    <row r="193" spans="1:71" x14ac:dyDescent="0.25">
      <c r="A193" t="s">
        <v>1084</v>
      </c>
      <c r="B193" t="s">
        <v>1085</v>
      </c>
      <c r="C193">
        <v>0</v>
      </c>
      <c r="D193">
        <v>0</v>
      </c>
      <c r="E193">
        <v>0</v>
      </c>
      <c r="F193">
        <v>34074.730000000003</v>
      </c>
      <c r="G193">
        <v>15614.57</v>
      </c>
      <c r="H193">
        <v>50349.31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1462.76</v>
      </c>
      <c r="R193">
        <v>0</v>
      </c>
      <c r="S193">
        <v>0</v>
      </c>
      <c r="T193">
        <v>0</v>
      </c>
      <c r="U193">
        <v>0</v>
      </c>
      <c r="V193">
        <v>106.46</v>
      </c>
      <c r="W193">
        <v>0</v>
      </c>
      <c r="X193">
        <v>6008</v>
      </c>
      <c r="Y193">
        <v>1890.75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4176.55</v>
      </c>
      <c r="AZ193">
        <v>0</v>
      </c>
      <c r="BA193">
        <v>0</v>
      </c>
      <c r="BB193">
        <v>0</v>
      </c>
      <c r="BC193">
        <v>0</v>
      </c>
      <c r="BD193">
        <v>2953.74</v>
      </c>
      <c r="BE193">
        <v>0</v>
      </c>
      <c r="BF193">
        <v>0</v>
      </c>
      <c r="BG193">
        <v>20685.77</v>
      </c>
      <c r="BH193">
        <v>0</v>
      </c>
      <c r="BI193">
        <v>262.08999999999997</v>
      </c>
      <c r="BJ193">
        <v>0</v>
      </c>
      <c r="BK193">
        <v>0</v>
      </c>
      <c r="BL193">
        <v>0</v>
      </c>
      <c r="BM193">
        <v>5979.79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</row>
    <row r="194" spans="1:71" x14ac:dyDescent="0.25">
      <c r="A194" t="s">
        <v>1086</v>
      </c>
      <c r="B194" t="s">
        <v>1087</v>
      </c>
      <c r="C194">
        <v>0</v>
      </c>
      <c r="D194">
        <v>9135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8630.24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228.26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</row>
    <row r="195" spans="1:71" x14ac:dyDescent="0.25">
      <c r="A195" t="s">
        <v>1088</v>
      </c>
      <c r="B195" t="s">
        <v>1089</v>
      </c>
      <c r="C195">
        <v>11046.62</v>
      </c>
      <c r="D195">
        <v>0</v>
      </c>
      <c r="E195">
        <v>0</v>
      </c>
      <c r="F195">
        <v>0</v>
      </c>
      <c r="G195">
        <v>33834.629999999997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264.72000000000003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93295.33</v>
      </c>
    </row>
    <row r="196" spans="1:71" x14ac:dyDescent="0.25">
      <c r="A196" t="s">
        <v>1090</v>
      </c>
      <c r="B196" t="s">
        <v>1091</v>
      </c>
      <c r="C196">
        <v>0</v>
      </c>
      <c r="D196">
        <v>0</v>
      </c>
      <c r="E196">
        <v>0</v>
      </c>
      <c r="F196">
        <v>22451.94</v>
      </c>
      <c r="G196">
        <v>0</v>
      </c>
      <c r="H196">
        <v>63089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51503.59</v>
      </c>
      <c r="R196">
        <v>0</v>
      </c>
      <c r="S196">
        <v>0</v>
      </c>
      <c r="T196">
        <v>0</v>
      </c>
      <c r="U196">
        <v>0</v>
      </c>
      <c r="V196">
        <v>869.69</v>
      </c>
      <c r="W196">
        <v>0</v>
      </c>
      <c r="X196">
        <v>74902.289999999994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2256.5700000000002</v>
      </c>
      <c r="BC196">
        <v>0</v>
      </c>
      <c r="BD196">
        <v>16250</v>
      </c>
      <c r="BE196">
        <v>0</v>
      </c>
      <c r="BF196">
        <v>0</v>
      </c>
      <c r="BG196">
        <v>12310.96</v>
      </c>
      <c r="BH196">
        <v>0</v>
      </c>
      <c r="BI196">
        <v>9161.6299999999992</v>
      </c>
      <c r="BJ196">
        <v>0</v>
      </c>
      <c r="BK196">
        <v>0</v>
      </c>
      <c r="BL196">
        <v>0</v>
      </c>
      <c r="BM196">
        <v>2473.02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18020.96</v>
      </c>
    </row>
    <row r="197" spans="1:71" x14ac:dyDescent="0.25">
      <c r="A197" t="s">
        <v>1092</v>
      </c>
      <c r="B197" t="s">
        <v>1093</v>
      </c>
      <c r="C197">
        <v>0</v>
      </c>
      <c r="D197">
        <v>0</v>
      </c>
      <c r="E197">
        <v>0</v>
      </c>
      <c r="F197">
        <v>0</v>
      </c>
      <c r="G197">
        <v>47009.98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6695.31</v>
      </c>
      <c r="W197">
        <v>0</v>
      </c>
      <c r="X197">
        <v>105345.52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21148.26</v>
      </c>
      <c r="BE197">
        <v>0</v>
      </c>
      <c r="BF197">
        <v>0</v>
      </c>
      <c r="BG197">
        <v>10568.71</v>
      </c>
      <c r="BH197">
        <v>0</v>
      </c>
      <c r="BI197">
        <v>116857.39</v>
      </c>
      <c r="BJ197">
        <v>0</v>
      </c>
      <c r="BK197">
        <v>4400.1000000000004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</row>
    <row r="198" spans="1:71" x14ac:dyDescent="0.25">
      <c r="A198" t="s">
        <v>1094</v>
      </c>
      <c r="B198" t="s">
        <v>1095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6118.74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13583.28</v>
      </c>
      <c r="R198">
        <v>0</v>
      </c>
      <c r="S198">
        <v>0</v>
      </c>
      <c r="T198">
        <v>0</v>
      </c>
      <c r="U198">
        <v>0</v>
      </c>
      <c r="V198">
        <v>593.76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2118.5500000000002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10288.950000000001</v>
      </c>
    </row>
    <row r="199" spans="1:71" x14ac:dyDescent="0.25">
      <c r="A199" t="s">
        <v>1096</v>
      </c>
      <c r="B199" t="s">
        <v>1097</v>
      </c>
      <c r="C199">
        <v>0</v>
      </c>
      <c r="D199">
        <v>0</v>
      </c>
      <c r="E199">
        <v>0</v>
      </c>
      <c r="F199">
        <v>0</v>
      </c>
      <c r="G199">
        <v>4185.1499999999996</v>
      </c>
      <c r="H199">
        <v>0</v>
      </c>
      <c r="I199">
        <v>0</v>
      </c>
      <c r="J199">
        <v>0</v>
      </c>
      <c r="K199">
        <v>2062.6999999999998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84049.02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56618.8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28482.94</v>
      </c>
      <c r="BE199">
        <v>0</v>
      </c>
      <c r="BF199">
        <v>0</v>
      </c>
      <c r="BG199">
        <v>0</v>
      </c>
      <c r="BH199">
        <v>0</v>
      </c>
      <c r="BI199">
        <v>28297.8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172.09</v>
      </c>
      <c r="BP199">
        <v>0</v>
      </c>
      <c r="BQ199">
        <v>0</v>
      </c>
      <c r="BR199">
        <v>0</v>
      </c>
      <c r="BS199">
        <v>3168.9</v>
      </c>
    </row>
    <row r="200" spans="1:71" x14ac:dyDescent="0.25">
      <c r="A200" t="s">
        <v>1098</v>
      </c>
      <c r="B200" t="s">
        <v>1099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5273.17</v>
      </c>
      <c r="I200">
        <v>0</v>
      </c>
      <c r="J200">
        <v>0</v>
      </c>
      <c r="K200">
        <v>2143.33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6219.47</v>
      </c>
      <c r="BE200">
        <v>0</v>
      </c>
      <c r="BF200">
        <v>0</v>
      </c>
      <c r="BG200">
        <v>8686.7000000000007</v>
      </c>
      <c r="BH200">
        <v>0</v>
      </c>
      <c r="BI200">
        <v>21628.34</v>
      </c>
      <c r="BJ200">
        <v>0</v>
      </c>
      <c r="BK200">
        <v>0</v>
      </c>
      <c r="BL200">
        <v>0</v>
      </c>
      <c r="BM200">
        <v>1005.44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</row>
    <row r="201" spans="1:71" x14ac:dyDescent="0.25">
      <c r="A201" t="s">
        <v>1100</v>
      </c>
      <c r="B201" t="s">
        <v>1101</v>
      </c>
      <c r="C201">
        <v>0</v>
      </c>
      <c r="D201">
        <v>154.36000000000001</v>
      </c>
      <c r="E201">
        <v>0</v>
      </c>
      <c r="F201">
        <v>0</v>
      </c>
      <c r="G201">
        <v>3152</v>
      </c>
      <c r="H201">
        <v>4296.5200000000004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22997.48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58849.08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11770.84</v>
      </c>
      <c r="BE201">
        <v>0</v>
      </c>
      <c r="BF201">
        <v>0</v>
      </c>
      <c r="BG201">
        <v>551.91</v>
      </c>
      <c r="BH201">
        <v>0</v>
      </c>
      <c r="BI201">
        <v>11870.69</v>
      </c>
      <c r="BJ201">
        <v>0</v>
      </c>
      <c r="BK201">
        <v>0</v>
      </c>
      <c r="BL201">
        <v>0</v>
      </c>
      <c r="BM201">
        <v>5886.69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250</v>
      </c>
    </row>
    <row r="202" spans="1:71" x14ac:dyDescent="0.25">
      <c r="A202" t="s">
        <v>1102</v>
      </c>
      <c r="B202" t="s">
        <v>1103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</row>
    <row r="203" spans="1:71" x14ac:dyDescent="0.25">
      <c r="A203" t="s">
        <v>1104</v>
      </c>
      <c r="B203" t="s">
        <v>1105</v>
      </c>
      <c r="C203">
        <v>0</v>
      </c>
      <c r="D203">
        <v>0</v>
      </c>
      <c r="E203">
        <v>0</v>
      </c>
      <c r="F203">
        <v>20551.259999999998</v>
      </c>
      <c r="G203">
        <v>7044.14</v>
      </c>
      <c r="H203">
        <v>50749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75513.89</v>
      </c>
      <c r="R203">
        <v>0</v>
      </c>
      <c r="S203">
        <v>0</v>
      </c>
      <c r="T203">
        <v>0</v>
      </c>
      <c r="U203">
        <v>0</v>
      </c>
      <c r="V203">
        <v>4054.32</v>
      </c>
      <c r="W203">
        <v>0</v>
      </c>
      <c r="X203">
        <v>41863.14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25337.67</v>
      </c>
      <c r="BE203">
        <v>0</v>
      </c>
      <c r="BF203">
        <v>0</v>
      </c>
      <c r="BG203">
        <v>23515.67</v>
      </c>
      <c r="BH203">
        <v>0</v>
      </c>
      <c r="BI203">
        <v>12563.91</v>
      </c>
      <c r="BJ203">
        <v>0</v>
      </c>
      <c r="BK203">
        <v>1989.8</v>
      </c>
      <c r="BL203">
        <v>0</v>
      </c>
      <c r="BM203">
        <v>5831.04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</row>
    <row r="204" spans="1:71" x14ac:dyDescent="0.25">
      <c r="A204" t="s">
        <v>1106</v>
      </c>
      <c r="B204" t="s">
        <v>1107</v>
      </c>
      <c r="C204">
        <v>0</v>
      </c>
      <c r="D204">
        <v>0</v>
      </c>
      <c r="E204">
        <v>0</v>
      </c>
      <c r="F204">
        <v>6610.5</v>
      </c>
      <c r="G204">
        <v>5663.01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111365.49</v>
      </c>
      <c r="R204">
        <v>0</v>
      </c>
      <c r="S204">
        <v>0</v>
      </c>
      <c r="T204">
        <v>0</v>
      </c>
      <c r="U204">
        <v>0</v>
      </c>
      <c r="V204">
        <v>199.24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3175.28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47380.55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23116.27</v>
      </c>
      <c r="BE204">
        <v>0</v>
      </c>
      <c r="BF204">
        <v>0</v>
      </c>
      <c r="BG204">
        <v>47499.02</v>
      </c>
      <c r="BH204">
        <v>0</v>
      </c>
      <c r="BI204">
        <v>29824.57</v>
      </c>
      <c r="BJ204">
        <v>0</v>
      </c>
      <c r="BK204">
        <v>0</v>
      </c>
      <c r="BL204">
        <v>0</v>
      </c>
      <c r="BM204">
        <v>8880.34</v>
      </c>
      <c r="BN204">
        <v>0</v>
      </c>
      <c r="BO204">
        <v>0</v>
      </c>
      <c r="BP204">
        <v>0</v>
      </c>
      <c r="BQ204">
        <v>1298.77</v>
      </c>
      <c r="BR204">
        <v>4552.5200000000004</v>
      </c>
      <c r="BS204">
        <v>0</v>
      </c>
    </row>
    <row r="205" spans="1:71" x14ac:dyDescent="0.25">
      <c r="A205" t="s">
        <v>1108</v>
      </c>
      <c r="B205" t="s">
        <v>1109</v>
      </c>
      <c r="C205">
        <v>0</v>
      </c>
      <c r="D205">
        <v>109585.23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12664.12</v>
      </c>
      <c r="W205">
        <v>0</v>
      </c>
      <c r="X205">
        <v>88225.09</v>
      </c>
      <c r="Y205">
        <v>12559.92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28780.51</v>
      </c>
      <c r="BH205">
        <v>0</v>
      </c>
      <c r="BI205">
        <v>36278.800000000003</v>
      </c>
      <c r="BJ205">
        <v>0</v>
      </c>
      <c r="BK205">
        <v>0</v>
      </c>
      <c r="BL205">
        <v>0</v>
      </c>
      <c r="BM205">
        <v>275897.57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</row>
    <row r="206" spans="1:71" x14ac:dyDescent="0.25">
      <c r="A206" t="s">
        <v>1110</v>
      </c>
      <c r="B206" t="s">
        <v>1111</v>
      </c>
      <c r="C206">
        <v>0</v>
      </c>
      <c r="D206">
        <v>0</v>
      </c>
      <c r="E206">
        <v>0</v>
      </c>
      <c r="F206">
        <v>0</v>
      </c>
      <c r="G206">
        <v>5238.78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34163.43</v>
      </c>
      <c r="BE206">
        <v>0</v>
      </c>
      <c r="BF206">
        <v>0</v>
      </c>
      <c r="BG206">
        <v>0</v>
      </c>
      <c r="BH206">
        <v>0</v>
      </c>
      <c r="BI206">
        <v>47272.06</v>
      </c>
      <c r="BJ206">
        <v>0</v>
      </c>
      <c r="BK206">
        <v>0</v>
      </c>
      <c r="BL206">
        <v>0</v>
      </c>
      <c r="BM206">
        <v>5552.25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</row>
    <row r="207" spans="1:71" x14ac:dyDescent="0.25">
      <c r="A207" t="s">
        <v>1112</v>
      </c>
      <c r="B207" t="s">
        <v>1113</v>
      </c>
      <c r="C207">
        <v>0</v>
      </c>
      <c r="D207">
        <v>0</v>
      </c>
      <c r="E207">
        <v>0</v>
      </c>
      <c r="F207">
        <v>18651.45</v>
      </c>
      <c r="G207">
        <v>0</v>
      </c>
      <c r="H207">
        <v>30102.58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46931.6</v>
      </c>
      <c r="R207">
        <v>0</v>
      </c>
      <c r="S207">
        <v>0</v>
      </c>
      <c r="T207">
        <v>0</v>
      </c>
      <c r="U207">
        <v>0</v>
      </c>
      <c r="V207">
        <v>1346.06</v>
      </c>
      <c r="W207">
        <v>0</v>
      </c>
      <c r="X207">
        <v>11420.28</v>
      </c>
      <c r="Y207">
        <v>0</v>
      </c>
      <c r="Z207">
        <v>142.97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2000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20938.169999999998</v>
      </c>
      <c r="BE207">
        <v>0</v>
      </c>
      <c r="BF207">
        <v>0</v>
      </c>
      <c r="BG207">
        <v>15463.35</v>
      </c>
      <c r="BH207">
        <v>0</v>
      </c>
      <c r="BI207">
        <v>35998</v>
      </c>
      <c r="BJ207">
        <v>0</v>
      </c>
      <c r="BK207">
        <v>0</v>
      </c>
      <c r="BL207">
        <v>0</v>
      </c>
      <c r="BM207">
        <v>345.91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4380.22</v>
      </c>
    </row>
    <row r="208" spans="1:71" x14ac:dyDescent="0.25">
      <c r="A208" t="s">
        <v>1114</v>
      </c>
      <c r="B208" t="s">
        <v>1115</v>
      </c>
      <c r="C208">
        <v>0</v>
      </c>
      <c r="D208">
        <v>59347.99</v>
      </c>
      <c r="E208">
        <v>0</v>
      </c>
      <c r="F208">
        <v>63744.44</v>
      </c>
      <c r="G208">
        <v>246782.35</v>
      </c>
      <c r="H208">
        <v>376596.52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151471.82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222730.66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335.06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72999.14</v>
      </c>
      <c r="BE208">
        <v>0</v>
      </c>
      <c r="BF208">
        <v>0</v>
      </c>
      <c r="BG208">
        <v>0</v>
      </c>
      <c r="BH208">
        <v>0</v>
      </c>
      <c r="BI208">
        <v>20986.89</v>
      </c>
      <c r="BJ208">
        <v>0</v>
      </c>
      <c r="BK208">
        <v>0</v>
      </c>
      <c r="BL208">
        <v>0</v>
      </c>
      <c r="BM208">
        <v>457515.58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</row>
    <row r="209" spans="1:71" x14ac:dyDescent="0.25">
      <c r="A209" t="s">
        <v>1116</v>
      </c>
      <c r="B209" t="s">
        <v>1117</v>
      </c>
      <c r="C209">
        <v>913.4</v>
      </c>
      <c r="D209">
        <v>0</v>
      </c>
      <c r="E209">
        <v>0</v>
      </c>
      <c r="F209">
        <v>0</v>
      </c>
      <c r="G209">
        <v>36593.339999999997</v>
      </c>
      <c r="H209">
        <v>136511.88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93198.19</v>
      </c>
      <c r="R209">
        <v>0</v>
      </c>
      <c r="S209">
        <v>0</v>
      </c>
      <c r="T209">
        <v>0</v>
      </c>
      <c r="U209">
        <v>0</v>
      </c>
      <c r="V209">
        <v>123.38</v>
      </c>
      <c r="W209">
        <v>0</v>
      </c>
      <c r="X209">
        <v>0.19</v>
      </c>
      <c r="Y209">
        <v>2502.08</v>
      </c>
      <c r="Z209">
        <v>0</v>
      </c>
      <c r="AA209">
        <v>0</v>
      </c>
      <c r="AB209">
        <v>0</v>
      </c>
      <c r="AC209">
        <v>63.3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107.77</v>
      </c>
      <c r="AZ209">
        <v>0</v>
      </c>
      <c r="BA209">
        <v>0</v>
      </c>
      <c r="BB209">
        <v>0</v>
      </c>
      <c r="BC209">
        <v>0</v>
      </c>
      <c r="BD209">
        <v>27351.19</v>
      </c>
      <c r="BE209">
        <v>0</v>
      </c>
      <c r="BF209">
        <v>0</v>
      </c>
      <c r="BG209">
        <v>20262.89</v>
      </c>
      <c r="BH209">
        <v>0</v>
      </c>
      <c r="BI209">
        <v>21194.75</v>
      </c>
      <c r="BJ209">
        <v>0</v>
      </c>
      <c r="BK209">
        <v>0</v>
      </c>
      <c r="BL209">
        <v>0</v>
      </c>
      <c r="BM209">
        <v>7279.62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</row>
    <row r="210" spans="1:71" x14ac:dyDescent="0.25">
      <c r="A210" t="s">
        <v>1118</v>
      </c>
      <c r="B210" t="s">
        <v>1119</v>
      </c>
      <c r="C210">
        <v>0</v>
      </c>
      <c r="D210">
        <v>130718.08</v>
      </c>
      <c r="E210">
        <v>0</v>
      </c>
      <c r="F210">
        <v>0</v>
      </c>
      <c r="G210">
        <v>21844.14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174104.58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611.86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27705.5</v>
      </c>
      <c r="BE210">
        <v>0</v>
      </c>
      <c r="BF210">
        <v>0</v>
      </c>
      <c r="BG210">
        <v>0</v>
      </c>
      <c r="BH210">
        <v>0</v>
      </c>
      <c r="BI210">
        <v>80288.52</v>
      </c>
      <c r="BJ210">
        <v>0</v>
      </c>
      <c r="BK210">
        <v>0</v>
      </c>
      <c r="BL210">
        <v>0</v>
      </c>
      <c r="BM210">
        <v>164.05</v>
      </c>
      <c r="BN210">
        <v>0</v>
      </c>
      <c r="BO210">
        <v>7511.56</v>
      </c>
      <c r="BP210">
        <v>0</v>
      </c>
      <c r="BQ210">
        <v>0</v>
      </c>
      <c r="BR210">
        <v>0</v>
      </c>
      <c r="BS210">
        <v>790</v>
      </c>
    </row>
    <row r="211" spans="1:71" x14ac:dyDescent="0.25">
      <c r="A211" t="s">
        <v>1120</v>
      </c>
      <c r="B211" t="s">
        <v>1121</v>
      </c>
      <c r="C211">
        <v>100</v>
      </c>
      <c r="D211">
        <v>14345.78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267419.43</v>
      </c>
      <c r="R211">
        <v>0</v>
      </c>
      <c r="S211">
        <v>0</v>
      </c>
      <c r="T211">
        <v>0</v>
      </c>
      <c r="U211">
        <v>0</v>
      </c>
      <c r="V211">
        <v>751.1</v>
      </c>
      <c r="W211">
        <v>0</v>
      </c>
      <c r="X211">
        <v>24807.51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29324.75</v>
      </c>
      <c r="BE211">
        <v>0</v>
      </c>
      <c r="BF211">
        <v>0</v>
      </c>
      <c r="BG211">
        <v>35648.620000000003</v>
      </c>
      <c r="BH211">
        <v>0</v>
      </c>
      <c r="BI211">
        <v>24333.58</v>
      </c>
      <c r="BJ211">
        <v>0</v>
      </c>
      <c r="BK211">
        <v>0</v>
      </c>
      <c r="BL211">
        <v>0</v>
      </c>
      <c r="BM211">
        <v>6692.58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</row>
    <row r="212" spans="1:71" x14ac:dyDescent="0.25">
      <c r="A212" t="s">
        <v>1122</v>
      </c>
      <c r="B212" t="s">
        <v>1123</v>
      </c>
      <c r="C212">
        <v>0</v>
      </c>
      <c r="D212">
        <v>0</v>
      </c>
      <c r="E212">
        <v>0</v>
      </c>
      <c r="F212">
        <v>0</v>
      </c>
      <c r="G212">
        <v>79945.87</v>
      </c>
      <c r="H212">
        <v>0</v>
      </c>
      <c r="I212">
        <v>0</v>
      </c>
      <c r="J212">
        <v>0</v>
      </c>
      <c r="K212">
        <v>3666.67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171.41</v>
      </c>
      <c r="W212">
        <v>0</v>
      </c>
      <c r="X212">
        <v>70701.61</v>
      </c>
      <c r="Y212">
        <v>0</v>
      </c>
      <c r="Z212">
        <v>0</v>
      </c>
      <c r="AA212">
        <v>0</v>
      </c>
      <c r="AB212">
        <v>708.76</v>
      </c>
      <c r="AC212">
        <v>0</v>
      </c>
      <c r="AD212">
        <v>1370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491.89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24230.77</v>
      </c>
      <c r="BE212">
        <v>0</v>
      </c>
      <c r="BF212">
        <v>1497.5</v>
      </c>
      <c r="BG212">
        <v>14330.01</v>
      </c>
      <c r="BH212">
        <v>0</v>
      </c>
      <c r="BI212">
        <v>6365.46</v>
      </c>
      <c r="BJ212">
        <v>0</v>
      </c>
      <c r="BK212">
        <v>0</v>
      </c>
      <c r="BL212">
        <v>0</v>
      </c>
      <c r="BM212">
        <v>4759.37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</row>
    <row r="213" spans="1:71" x14ac:dyDescent="0.25">
      <c r="A213" t="s">
        <v>1124</v>
      </c>
      <c r="B213" t="s">
        <v>1125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38274.019999999997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4363.5</v>
      </c>
      <c r="W213">
        <v>0</v>
      </c>
      <c r="X213">
        <v>20267.669999999998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27254.29</v>
      </c>
      <c r="BE213">
        <v>0</v>
      </c>
      <c r="BF213">
        <v>0</v>
      </c>
      <c r="BG213">
        <v>9154.7999999999993</v>
      </c>
      <c r="BH213">
        <v>0</v>
      </c>
      <c r="BI213">
        <v>0</v>
      </c>
      <c r="BJ213">
        <v>0</v>
      </c>
      <c r="BK213">
        <v>1918.75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</row>
    <row r="214" spans="1:71" x14ac:dyDescent="0.25">
      <c r="A214" t="s">
        <v>1126</v>
      </c>
      <c r="B214" t="s">
        <v>1127</v>
      </c>
      <c r="C214">
        <v>0</v>
      </c>
      <c r="D214">
        <v>59973.83</v>
      </c>
      <c r="E214">
        <v>0</v>
      </c>
      <c r="F214">
        <v>177576.58</v>
      </c>
      <c r="G214">
        <v>70473.210000000006</v>
      </c>
      <c r="H214">
        <v>179535.37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118826.94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117663.99</v>
      </c>
      <c r="Y214">
        <v>0</v>
      </c>
      <c r="Z214">
        <v>0</v>
      </c>
      <c r="AA214">
        <v>0</v>
      </c>
      <c r="AB214">
        <v>1350.98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56452.81</v>
      </c>
      <c r="BE214">
        <v>0</v>
      </c>
      <c r="BF214">
        <v>0</v>
      </c>
      <c r="BG214">
        <v>76187</v>
      </c>
      <c r="BH214">
        <v>0</v>
      </c>
      <c r="BI214">
        <v>33471.17</v>
      </c>
      <c r="BJ214">
        <v>0</v>
      </c>
      <c r="BK214">
        <v>19462.509999999998</v>
      </c>
      <c r="BL214">
        <v>0</v>
      </c>
      <c r="BM214">
        <v>7690.29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146478.93</v>
      </c>
    </row>
    <row r="215" spans="1:71" x14ac:dyDescent="0.25">
      <c r="A215" t="s">
        <v>1128</v>
      </c>
      <c r="B215" t="s">
        <v>1129</v>
      </c>
      <c r="C215">
        <v>0</v>
      </c>
      <c r="D215">
        <v>0</v>
      </c>
      <c r="E215">
        <v>0</v>
      </c>
      <c r="F215">
        <v>0</v>
      </c>
      <c r="G215">
        <v>81587.27</v>
      </c>
      <c r="H215">
        <v>21991.46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496.49</v>
      </c>
      <c r="W215">
        <v>0</v>
      </c>
      <c r="X215">
        <v>800.82</v>
      </c>
      <c r="Y215">
        <v>3369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8212.7199999999993</v>
      </c>
      <c r="BE215">
        <v>0</v>
      </c>
      <c r="BF215">
        <v>0</v>
      </c>
      <c r="BG215">
        <v>29920.37</v>
      </c>
      <c r="BH215">
        <v>0</v>
      </c>
      <c r="BI215">
        <v>68759.429999999993</v>
      </c>
      <c r="BJ215">
        <v>0</v>
      </c>
      <c r="BK215">
        <v>3295.63</v>
      </c>
      <c r="BL215">
        <v>0</v>
      </c>
      <c r="BM215">
        <v>8209.89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</row>
    <row r="216" spans="1:71" x14ac:dyDescent="0.25">
      <c r="A216" t="s">
        <v>1130</v>
      </c>
      <c r="B216" t="s">
        <v>1131</v>
      </c>
      <c r="C216">
        <v>12281.75</v>
      </c>
      <c r="D216">
        <v>1726.97</v>
      </c>
      <c r="E216">
        <v>0</v>
      </c>
      <c r="F216">
        <v>0</v>
      </c>
      <c r="G216">
        <v>48826.42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1402.72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15798.62</v>
      </c>
      <c r="Y216">
        <v>4578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6160.2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26377.62</v>
      </c>
      <c r="BE216">
        <v>0</v>
      </c>
      <c r="BF216">
        <v>0</v>
      </c>
      <c r="BG216">
        <v>0</v>
      </c>
      <c r="BH216">
        <v>2621.74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</row>
    <row r="217" spans="1:71" x14ac:dyDescent="0.25">
      <c r="A217" t="s">
        <v>1132</v>
      </c>
      <c r="B217" t="s">
        <v>1133</v>
      </c>
      <c r="C217">
        <v>6362.43</v>
      </c>
      <c r="D217">
        <v>4353.87</v>
      </c>
      <c r="E217">
        <v>0</v>
      </c>
      <c r="F217">
        <v>0</v>
      </c>
      <c r="G217">
        <v>155961.19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121627.79</v>
      </c>
      <c r="R217">
        <v>0</v>
      </c>
      <c r="S217">
        <v>0</v>
      </c>
      <c r="T217">
        <v>0</v>
      </c>
      <c r="U217">
        <v>0</v>
      </c>
      <c r="V217">
        <v>1777.24</v>
      </c>
      <c r="W217">
        <v>0</v>
      </c>
      <c r="X217">
        <v>74587.47</v>
      </c>
      <c r="Y217">
        <v>0</v>
      </c>
      <c r="Z217">
        <v>0</v>
      </c>
      <c r="AA217">
        <v>541.96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1850.67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23254.39</v>
      </c>
      <c r="BE217">
        <v>0</v>
      </c>
      <c r="BF217">
        <v>0</v>
      </c>
      <c r="BG217">
        <v>8296.43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4534.24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</row>
    <row r="218" spans="1:71" x14ac:dyDescent="0.25">
      <c r="A218" t="s">
        <v>1134</v>
      </c>
      <c r="B218" t="s">
        <v>1135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10701.23</v>
      </c>
      <c r="R218">
        <v>0</v>
      </c>
      <c r="S218">
        <v>0</v>
      </c>
      <c r="T218">
        <v>0</v>
      </c>
      <c r="U218">
        <v>0</v>
      </c>
      <c r="V218">
        <v>1885.95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22199.25</v>
      </c>
      <c r="BE218">
        <v>0</v>
      </c>
      <c r="BF218">
        <v>0</v>
      </c>
      <c r="BG218">
        <v>7697.58</v>
      </c>
      <c r="BH218">
        <v>0</v>
      </c>
      <c r="BI218">
        <v>13898.62</v>
      </c>
      <c r="BJ218">
        <v>0</v>
      </c>
      <c r="BK218">
        <v>0</v>
      </c>
      <c r="BL218">
        <v>0</v>
      </c>
      <c r="BM218">
        <v>1818.15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963.82</v>
      </c>
    </row>
    <row r="219" spans="1:71" x14ac:dyDescent="0.25">
      <c r="A219" t="s">
        <v>1136</v>
      </c>
      <c r="B219" t="s">
        <v>1137</v>
      </c>
      <c r="C219">
        <v>0</v>
      </c>
      <c r="D219">
        <v>35117</v>
      </c>
      <c r="E219">
        <v>0</v>
      </c>
      <c r="F219">
        <v>7667.97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83982.13</v>
      </c>
      <c r="R219">
        <v>0</v>
      </c>
      <c r="S219">
        <v>0</v>
      </c>
      <c r="T219">
        <v>0</v>
      </c>
      <c r="U219">
        <v>0</v>
      </c>
      <c r="V219">
        <v>671</v>
      </c>
      <c r="W219">
        <v>0</v>
      </c>
      <c r="X219">
        <v>27902.3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23151.66</v>
      </c>
      <c r="BE219">
        <v>0</v>
      </c>
      <c r="BF219">
        <v>0</v>
      </c>
      <c r="BG219">
        <v>0</v>
      </c>
      <c r="BH219">
        <v>0</v>
      </c>
      <c r="BI219">
        <v>2083.23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</row>
    <row r="220" spans="1:71" x14ac:dyDescent="0.25">
      <c r="A220" t="s">
        <v>1138</v>
      </c>
      <c r="B220" t="s">
        <v>1139</v>
      </c>
      <c r="C220">
        <v>3958.67</v>
      </c>
      <c r="D220">
        <v>11380.94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79861.38</v>
      </c>
      <c r="R220">
        <v>0</v>
      </c>
      <c r="S220">
        <v>0</v>
      </c>
      <c r="T220">
        <v>0</v>
      </c>
      <c r="U220">
        <v>0</v>
      </c>
      <c r="V220">
        <v>125.68</v>
      </c>
      <c r="W220">
        <v>0</v>
      </c>
      <c r="X220">
        <v>48627.01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21233.7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1028.7</v>
      </c>
      <c r="BL220">
        <v>0</v>
      </c>
      <c r="BM220">
        <v>0</v>
      </c>
      <c r="BN220">
        <v>0</v>
      </c>
      <c r="BO220">
        <v>1987.6</v>
      </c>
      <c r="BP220">
        <v>0</v>
      </c>
      <c r="BQ220">
        <v>0</v>
      </c>
      <c r="BR220">
        <v>0</v>
      </c>
      <c r="BS220">
        <v>0</v>
      </c>
    </row>
    <row r="221" spans="1:71" x14ac:dyDescent="0.25">
      <c r="A221" t="s">
        <v>1140</v>
      </c>
      <c r="B221" t="s">
        <v>1141</v>
      </c>
      <c r="C221">
        <v>0</v>
      </c>
      <c r="D221">
        <v>0</v>
      </c>
      <c r="E221">
        <v>0</v>
      </c>
      <c r="F221">
        <v>0</v>
      </c>
      <c r="G221">
        <v>11330.61</v>
      </c>
      <c r="H221">
        <v>69399.460000000006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671</v>
      </c>
      <c r="W221">
        <v>0</v>
      </c>
      <c r="X221">
        <v>30825.49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11844.28</v>
      </c>
      <c r="BE221">
        <v>0</v>
      </c>
      <c r="BF221">
        <v>0</v>
      </c>
      <c r="BG221">
        <v>10519.47</v>
      </c>
      <c r="BH221">
        <v>0</v>
      </c>
      <c r="BI221">
        <v>15199.9</v>
      </c>
      <c r="BJ221">
        <v>0</v>
      </c>
      <c r="BK221">
        <v>0</v>
      </c>
      <c r="BL221">
        <v>0</v>
      </c>
      <c r="BM221">
        <v>6116.71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</row>
    <row r="222" spans="1:71" x14ac:dyDescent="0.25">
      <c r="A222" t="s">
        <v>1142</v>
      </c>
      <c r="B222" t="s">
        <v>1143</v>
      </c>
      <c r="C222">
        <v>3514.89</v>
      </c>
      <c r="D222">
        <v>104947.59</v>
      </c>
      <c r="E222">
        <v>0</v>
      </c>
      <c r="F222">
        <v>0</v>
      </c>
      <c r="G222">
        <v>0</v>
      </c>
      <c r="H222">
        <v>46196.22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175506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5374.35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22379.8</v>
      </c>
      <c r="BE222">
        <v>0</v>
      </c>
      <c r="BF222">
        <v>0</v>
      </c>
      <c r="BG222">
        <v>43843.54</v>
      </c>
      <c r="BH222">
        <v>0</v>
      </c>
      <c r="BI222">
        <v>32096.16</v>
      </c>
      <c r="BJ222">
        <v>0</v>
      </c>
      <c r="BK222">
        <v>0</v>
      </c>
      <c r="BL222">
        <v>0</v>
      </c>
      <c r="BM222">
        <v>42208.38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932.02</v>
      </c>
    </row>
    <row r="223" spans="1:71" x14ac:dyDescent="0.25">
      <c r="A223" t="s">
        <v>1144</v>
      </c>
      <c r="B223" t="s">
        <v>1145</v>
      </c>
      <c r="C223">
        <v>0</v>
      </c>
      <c r="D223">
        <v>16542.88</v>
      </c>
      <c r="E223">
        <v>0</v>
      </c>
      <c r="F223">
        <v>0</v>
      </c>
      <c r="G223">
        <v>85188.15</v>
      </c>
      <c r="H223">
        <v>515.28</v>
      </c>
      <c r="I223">
        <v>0</v>
      </c>
      <c r="J223">
        <v>0</v>
      </c>
      <c r="K223">
        <v>0</v>
      </c>
      <c r="L223">
        <v>8943.17</v>
      </c>
      <c r="M223">
        <v>0</v>
      </c>
      <c r="N223">
        <v>0</v>
      </c>
      <c r="O223">
        <v>0</v>
      </c>
      <c r="P223">
        <v>0</v>
      </c>
      <c r="Q223">
        <v>178442.77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11852.24</v>
      </c>
      <c r="Y223">
        <v>0</v>
      </c>
      <c r="Z223">
        <v>0</v>
      </c>
      <c r="AA223">
        <v>27704.75</v>
      </c>
      <c r="AB223">
        <v>0</v>
      </c>
      <c r="AC223">
        <v>0</v>
      </c>
      <c r="AD223">
        <v>0</v>
      </c>
      <c r="AE223">
        <v>0.01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70068.570000000007</v>
      </c>
      <c r="BE223">
        <v>0</v>
      </c>
      <c r="BF223">
        <v>0</v>
      </c>
      <c r="BG223">
        <v>19892.419999999998</v>
      </c>
      <c r="BH223">
        <v>0</v>
      </c>
      <c r="BI223">
        <v>47091.89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687.9</v>
      </c>
    </row>
    <row r="224" spans="1:71" x14ac:dyDescent="0.25">
      <c r="A224" t="s">
        <v>1146</v>
      </c>
      <c r="B224" t="s">
        <v>1147</v>
      </c>
      <c r="C224">
        <v>0</v>
      </c>
      <c r="D224">
        <v>848.18</v>
      </c>
      <c r="E224">
        <v>0</v>
      </c>
      <c r="F224">
        <v>13356</v>
      </c>
      <c r="G224">
        <v>76466.66</v>
      </c>
      <c r="H224">
        <v>72987.740000000005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14387.93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25769.79</v>
      </c>
      <c r="BE224">
        <v>0</v>
      </c>
      <c r="BF224">
        <v>0</v>
      </c>
      <c r="BG224">
        <v>43146.49</v>
      </c>
      <c r="BH224">
        <v>0</v>
      </c>
      <c r="BI224">
        <v>20798.849999999999</v>
      </c>
      <c r="BJ224">
        <v>0</v>
      </c>
      <c r="BK224">
        <v>2119.62</v>
      </c>
      <c r="BL224">
        <v>0</v>
      </c>
      <c r="BM224">
        <v>6385.19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</row>
    <row r="225" spans="1:71" x14ac:dyDescent="0.25">
      <c r="A225" t="s">
        <v>1148</v>
      </c>
      <c r="B225" t="s">
        <v>1149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</row>
    <row r="226" spans="1:71" x14ac:dyDescent="0.25">
      <c r="A226" t="s">
        <v>1150</v>
      </c>
      <c r="B226" t="s">
        <v>1151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47148.52</v>
      </c>
      <c r="R226">
        <v>0</v>
      </c>
      <c r="S226">
        <v>0</v>
      </c>
      <c r="T226">
        <v>0</v>
      </c>
      <c r="U226">
        <v>0</v>
      </c>
      <c r="V226">
        <v>659.78</v>
      </c>
      <c r="W226">
        <v>0</v>
      </c>
      <c r="X226">
        <v>26474.29</v>
      </c>
      <c r="Y226">
        <v>3807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25432.92</v>
      </c>
      <c r="BE226">
        <v>0</v>
      </c>
      <c r="BF226">
        <v>0</v>
      </c>
      <c r="BG226">
        <v>20700.8</v>
      </c>
      <c r="BH226">
        <v>110.75</v>
      </c>
      <c r="BI226">
        <v>35511.1</v>
      </c>
      <c r="BJ226">
        <v>0</v>
      </c>
      <c r="BK226">
        <v>1765.41</v>
      </c>
      <c r="BL226">
        <v>0</v>
      </c>
      <c r="BM226">
        <v>2401.41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</row>
    <row r="227" spans="1:71" x14ac:dyDescent="0.25">
      <c r="A227" t="s">
        <v>1152</v>
      </c>
      <c r="B227" t="s">
        <v>1153</v>
      </c>
      <c r="C227">
        <v>0</v>
      </c>
      <c r="D227">
        <v>3568.39</v>
      </c>
      <c r="E227">
        <v>0</v>
      </c>
      <c r="F227">
        <v>0</v>
      </c>
      <c r="G227">
        <v>18146.71</v>
      </c>
      <c r="H227">
        <v>114301.49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287245.34999999998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1180.5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38936.089999999997</v>
      </c>
      <c r="BE227">
        <v>0</v>
      </c>
      <c r="BF227">
        <v>0</v>
      </c>
      <c r="BG227">
        <v>36006.639999999999</v>
      </c>
      <c r="BH227">
        <v>0</v>
      </c>
      <c r="BI227">
        <v>0</v>
      </c>
      <c r="BJ227">
        <v>0</v>
      </c>
      <c r="BK227">
        <v>15796.47</v>
      </c>
      <c r="BL227">
        <v>0</v>
      </c>
      <c r="BM227">
        <v>136458.85999999999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</row>
    <row r="228" spans="1:71" x14ac:dyDescent="0.25">
      <c r="A228" t="s">
        <v>1154</v>
      </c>
      <c r="B228" t="s">
        <v>1155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101171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29731.45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21955.9</v>
      </c>
      <c r="BE228">
        <v>0</v>
      </c>
      <c r="BF228">
        <v>0</v>
      </c>
      <c r="BG228">
        <v>10234.93</v>
      </c>
      <c r="BH228">
        <v>0</v>
      </c>
      <c r="BI228">
        <v>7504.28</v>
      </c>
      <c r="BJ228">
        <v>0</v>
      </c>
      <c r="BK228">
        <v>0</v>
      </c>
      <c r="BL228">
        <v>0</v>
      </c>
      <c r="BM228">
        <v>1985.85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</row>
    <row r="229" spans="1:71" x14ac:dyDescent="0.25">
      <c r="A229" t="s">
        <v>1156</v>
      </c>
      <c r="B229" t="s">
        <v>1157</v>
      </c>
      <c r="C229">
        <v>0</v>
      </c>
      <c r="D229">
        <v>0</v>
      </c>
      <c r="E229">
        <v>251292.95</v>
      </c>
      <c r="F229">
        <v>0</v>
      </c>
      <c r="G229">
        <v>49497.83</v>
      </c>
      <c r="H229">
        <v>34600.400000000001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202366.66</v>
      </c>
      <c r="R229">
        <v>0</v>
      </c>
      <c r="S229">
        <v>0</v>
      </c>
      <c r="T229">
        <v>0</v>
      </c>
      <c r="U229">
        <v>0</v>
      </c>
      <c r="V229">
        <v>3673.6</v>
      </c>
      <c r="W229">
        <v>0</v>
      </c>
      <c r="X229">
        <v>104730.02</v>
      </c>
      <c r="Y229">
        <v>0</v>
      </c>
      <c r="Z229">
        <v>0</v>
      </c>
      <c r="AA229">
        <v>0</v>
      </c>
      <c r="AB229">
        <v>121.18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15001.28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28431.03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</row>
    <row r="230" spans="1:71" x14ac:dyDescent="0.25">
      <c r="A230" t="s">
        <v>1158</v>
      </c>
      <c r="B230" t="s">
        <v>1159</v>
      </c>
      <c r="C230">
        <v>34503.440000000002</v>
      </c>
      <c r="D230">
        <v>83157.789999999994</v>
      </c>
      <c r="E230">
        <v>0</v>
      </c>
      <c r="F230">
        <v>65735.66</v>
      </c>
      <c r="G230">
        <v>130958.53</v>
      </c>
      <c r="H230">
        <v>31494.84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665.69</v>
      </c>
      <c r="W230">
        <v>0</v>
      </c>
      <c r="X230">
        <v>11076.32</v>
      </c>
      <c r="Y230">
        <v>0</v>
      </c>
      <c r="Z230">
        <v>0</v>
      </c>
      <c r="AA230">
        <v>4431.3599999999997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31632.080000000002</v>
      </c>
      <c r="BE230">
        <v>0</v>
      </c>
      <c r="BF230">
        <v>0</v>
      </c>
      <c r="BG230">
        <v>56535.1</v>
      </c>
      <c r="BH230">
        <v>0</v>
      </c>
      <c r="BI230">
        <v>49445.56</v>
      </c>
      <c r="BJ230">
        <v>0</v>
      </c>
      <c r="BK230">
        <v>0</v>
      </c>
      <c r="BL230">
        <v>0</v>
      </c>
      <c r="BM230">
        <v>1618.07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</row>
    <row r="231" spans="1:71" x14ac:dyDescent="0.25">
      <c r="A231" t="s">
        <v>1160</v>
      </c>
      <c r="B231" t="s">
        <v>1161</v>
      </c>
      <c r="C231">
        <v>0</v>
      </c>
      <c r="D231">
        <v>0</v>
      </c>
      <c r="E231">
        <v>0</v>
      </c>
      <c r="F231">
        <v>0</v>
      </c>
      <c r="G231">
        <v>11471.33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290820.34999999998</v>
      </c>
      <c r="R231">
        <v>0</v>
      </c>
      <c r="S231">
        <v>0</v>
      </c>
      <c r="T231">
        <v>0</v>
      </c>
      <c r="U231">
        <v>0</v>
      </c>
      <c r="V231">
        <v>7604.06</v>
      </c>
      <c r="W231">
        <v>0</v>
      </c>
      <c r="X231">
        <v>97693.71</v>
      </c>
      <c r="Y231">
        <v>1552.07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18599.060000000001</v>
      </c>
      <c r="BE231">
        <v>0</v>
      </c>
      <c r="BF231">
        <v>0</v>
      </c>
      <c r="BG231">
        <v>8794.8700000000008</v>
      </c>
      <c r="BH231">
        <v>0</v>
      </c>
      <c r="BI231">
        <v>46154.04</v>
      </c>
      <c r="BJ231">
        <v>0</v>
      </c>
      <c r="BK231">
        <v>5743.63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</row>
    <row r="232" spans="1:71" x14ac:dyDescent="0.25">
      <c r="A232" t="s">
        <v>1162</v>
      </c>
      <c r="B232" t="s">
        <v>1163</v>
      </c>
      <c r="C232">
        <v>0</v>
      </c>
      <c r="D232">
        <v>5193.3999999999996</v>
      </c>
      <c r="E232">
        <v>0</v>
      </c>
      <c r="F232">
        <v>0</v>
      </c>
      <c r="G232">
        <v>33040.79</v>
      </c>
      <c r="H232">
        <v>85403.03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3933</v>
      </c>
      <c r="T232">
        <v>0</v>
      </c>
      <c r="U232">
        <v>0</v>
      </c>
      <c r="V232">
        <v>945.29</v>
      </c>
      <c r="W232">
        <v>0</v>
      </c>
      <c r="X232">
        <v>148220.56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11285.85</v>
      </c>
      <c r="BE232">
        <v>0</v>
      </c>
      <c r="BF232">
        <v>0</v>
      </c>
      <c r="BG232">
        <v>2896.98</v>
      </c>
      <c r="BH232">
        <v>0</v>
      </c>
      <c r="BI232">
        <v>4139.28</v>
      </c>
      <c r="BJ232">
        <v>0</v>
      </c>
      <c r="BK232">
        <v>997.2</v>
      </c>
      <c r="BL232">
        <v>0</v>
      </c>
      <c r="BM232">
        <v>5037.24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</row>
    <row r="233" spans="1:71" x14ac:dyDescent="0.25">
      <c r="A233" t="s">
        <v>1164</v>
      </c>
      <c r="B233" t="s">
        <v>1165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5853.59</v>
      </c>
      <c r="R233">
        <v>0</v>
      </c>
      <c r="S233">
        <v>0</v>
      </c>
      <c r="T233">
        <v>0</v>
      </c>
      <c r="U233">
        <v>0</v>
      </c>
      <c r="V233">
        <v>1105.8900000000001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600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23048.400000000001</v>
      </c>
      <c r="BE233">
        <v>0</v>
      </c>
      <c r="BF233">
        <v>0</v>
      </c>
      <c r="BG233">
        <v>13344.69</v>
      </c>
      <c r="BH233">
        <v>0</v>
      </c>
      <c r="BI233">
        <v>22908.23</v>
      </c>
      <c r="BJ233">
        <v>0</v>
      </c>
      <c r="BK233">
        <v>0</v>
      </c>
      <c r="BL233">
        <v>0</v>
      </c>
      <c r="BM233">
        <v>5271.48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</row>
    <row r="234" spans="1:71" x14ac:dyDescent="0.25">
      <c r="A234" t="s">
        <v>1166</v>
      </c>
      <c r="B234" t="s">
        <v>1167</v>
      </c>
      <c r="C234">
        <v>0</v>
      </c>
      <c r="D234">
        <v>0</v>
      </c>
      <c r="E234">
        <v>0</v>
      </c>
      <c r="F234">
        <v>0</v>
      </c>
      <c r="G234">
        <v>111480.53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11739.13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35196.959999999999</v>
      </c>
      <c r="BE234">
        <v>0</v>
      </c>
      <c r="BF234">
        <v>0</v>
      </c>
      <c r="BG234">
        <v>88954.36</v>
      </c>
      <c r="BH234">
        <v>0</v>
      </c>
      <c r="BI234">
        <v>151278.23000000001</v>
      </c>
      <c r="BJ234">
        <v>0</v>
      </c>
      <c r="BK234">
        <v>2305.29</v>
      </c>
      <c r="BL234">
        <v>0</v>
      </c>
      <c r="BM234">
        <v>8470.7000000000007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</row>
    <row r="235" spans="1:71" x14ac:dyDescent="0.25">
      <c r="A235" t="s">
        <v>1168</v>
      </c>
      <c r="B235" t="s">
        <v>1169</v>
      </c>
      <c r="C235">
        <v>0</v>
      </c>
      <c r="D235">
        <v>0</v>
      </c>
      <c r="E235">
        <v>0</v>
      </c>
      <c r="F235">
        <v>0</v>
      </c>
      <c r="G235">
        <v>106432.99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36089.33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26319.93</v>
      </c>
      <c r="Y235">
        <v>6561.1</v>
      </c>
      <c r="Z235">
        <v>0</v>
      </c>
      <c r="AA235">
        <v>4</v>
      </c>
      <c r="AB235">
        <v>13718.58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52271.66</v>
      </c>
      <c r="BE235">
        <v>0</v>
      </c>
      <c r="BF235">
        <v>0</v>
      </c>
      <c r="BG235">
        <v>38892.129999999997</v>
      </c>
      <c r="BH235">
        <v>0</v>
      </c>
      <c r="BI235">
        <v>51136.93</v>
      </c>
      <c r="BJ235">
        <v>0</v>
      </c>
      <c r="BK235">
        <v>2401.5300000000002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4024.21</v>
      </c>
    </row>
    <row r="236" spans="1:71" x14ac:dyDescent="0.25">
      <c r="A236" t="s">
        <v>1170</v>
      </c>
      <c r="B236" t="s">
        <v>1171</v>
      </c>
      <c r="C236">
        <v>0</v>
      </c>
      <c r="D236">
        <v>97206.41</v>
      </c>
      <c r="E236">
        <v>0</v>
      </c>
      <c r="F236">
        <v>0</v>
      </c>
      <c r="G236">
        <v>244651.44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111369.44</v>
      </c>
      <c r="R236">
        <v>0</v>
      </c>
      <c r="S236">
        <v>0</v>
      </c>
      <c r="T236">
        <v>0</v>
      </c>
      <c r="U236">
        <v>0</v>
      </c>
      <c r="V236">
        <v>783.43</v>
      </c>
      <c r="W236">
        <v>0</v>
      </c>
      <c r="X236">
        <v>167490.32999999999</v>
      </c>
      <c r="Y236">
        <v>10464.540000000001</v>
      </c>
      <c r="Z236">
        <v>0</v>
      </c>
      <c r="AA236">
        <v>105957.25</v>
      </c>
      <c r="AB236">
        <v>1360.85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4223.24</v>
      </c>
      <c r="AP236">
        <v>181223.05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70820.97</v>
      </c>
      <c r="BE236">
        <v>0</v>
      </c>
      <c r="BF236">
        <v>0</v>
      </c>
      <c r="BG236">
        <v>283295.62</v>
      </c>
      <c r="BH236">
        <v>0</v>
      </c>
      <c r="BI236">
        <v>3428.57</v>
      </c>
      <c r="BJ236">
        <v>0</v>
      </c>
      <c r="BK236">
        <v>0</v>
      </c>
      <c r="BL236">
        <v>0</v>
      </c>
      <c r="BM236">
        <v>15173.08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303009.08</v>
      </c>
    </row>
    <row r="237" spans="1:71" x14ac:dyDescent="0.25">
      <c r="A237" t="s">
        <v>1172</v>
      </c>
      <c r="B237" t="s">
        <v>1173</v>
      </c>
      <c r="C237">
        <v>0</v>
      </c>
      <c r="D237">
        <v>0</v>
      </c>
      <c r="E237">
        <v>0</v>
      </c>
      <c r="F237">
        <v>0</v>
      </c>
      <c r="G237">
        <v>57498.91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12290.5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5072.8100000000004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17907.14</v>
      </c>
      <c r="BE237">
        <v>0</v>
      </c>
      <c r="BF237">
        <v>0</v>
      </c>
      <c r="BG237">
        <v>13624.17</v>
      </c>
      <c r="BH237">
        <v>0</v>
      </c>
      <c r="BI237">
        <v>791.19</v>
      </c>
      <c r="BJ237">
        <v>0</v>
      </c>
      <c r="BK237">
        <v>0</v>
      </c>
      <c r="BL237">
        <v>0</v>
      </c>
      <c r="BM237">
        <v>21841.81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</row>
    <row r="238" spans="1:71" x14ac:dyDescent="0.25">
      <c r="A238" t="s">
        <v>1174</v>
      </c>
      <c r="B238" t="s">
        <v>1175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</row>
    <row r="239" spans="1:71" x14ac:dyDescent="0.25">
      <c r="A239" t="s">
        <v>1176</v>
      </c>
      <c r="B239" t="s">
        <v>614</v>
      </c>
      <c r="C239">
        <v>1401</v>
      </c>
      <c r="D239">
        <v>1203.02</v>
      </c>
      <c r="E239">
        <v>0</v>
      </c>
      <c r="F239">
        <v>299.68</v>
      </c>
      <c r="G239">
        <v>47641.18</v>
      </c>
      <c r="H239">
        <v>11087.56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94187.69</v>
      </c>
      <c r="R239">
        <v>0</v>
      </c>
      <c r="S239">
        <v>0</v>
      </c>
      <c r="T239">
        <v>0</v>
      </c>
      <c r="U239">
        <v>0</v>
      </c>
      <c r="V239">
        <v>557.75</v>
      </c>
      <c r="W239">
        <v>0</v>
      </c>
      <c r="X239">
        <v>355.75</v>
      </c>
      <c r="Y239">
        <v>0</v>
      </c>
      <c r="Z239">
        <v>1226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6314.58</v>
      </c>
      <c r="BE239">
        <v>0</v>
      </c>
      <c r="BF239">
        <v>0</v>
      </c>
      <c r="BG239">
        <v>30493.27</v>
      </c>
      <c r="BH239">
        <v>0</v>
      </c>
      <c r="BI239">
        <v>58565.37</v>
      </c>
      <c r="BJ239">
        <v>0</v>
      </c>
      <c r="BK239">
        <v>0</v>
      </c>
      <c r="BL239">
        <v>0</v>
      </c>
      <c r="BM239">
        <v>8804.5300000000007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</row>
    <row r="240" spans="1:71" x14ac:dyDescent="0.25">
      <c r="A240" t="s">
        <v>1177</v>
      </c>
      <c r="B240" t="s">
        <v>1178</v>
      </c>
      <c r="C240">
        <v>0</v>
      </c>
      <c r="D240">
        <v>0</v>
      </c>
      <c r="E240">
        <v>0</v>
      </c>
      <c r="F240">
        <v>0</v>
      </c>
      <c r="G240">
        <v>133929.51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60800.35</v>
      </c>
      <c r="R240">
        <v>0</v>
      </c>
      <c r="S240">
        <v>0</v>
      </c>
      <c r="T240">
        <v>0</v>
      </c>
      <c r="U240">
        <v>0</v>
      </c>
      <c r="V240">
        <v>2940.14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15485.26</v>
      </c>
      <c r="BE240">
        <v>0</v>
      </c>
      <c r="BF240">
        <v>0</v>
      </c>
      <c r="BG240">
        <v>44171.65</v>
      </c>
      <c r="BH240">
        <v>0</v>
      </c>
      <c r="BI240">
        <v>51111.21</v>
      </c>
      <c r="BJ240">
        <v>0</v>
      </c>
      <c r="BK240">
        <v>0</v>
      </c>
      <c r="BL240">
        <v>0</v>
      </c>
      <c r="BM240">
        <v>5061.6099999999997</v>
      </c>
      <c r="BN240">
        <v>0</v>
      </c>
      <c r="BO240">
        <v>694.47</v>
      </c>
      <c r="BP240">
        <v>0</v>
      </c>
      <c r="BQ240">
        <v>0</v>
      </c>
      <c r="BR240">
        <v>0</v>
      </c>
      <c r="BS240">
        <v>0</v>
      </c>
    </row>
    <row r="241" spans="1:71" x14ac:dyDescent="0.25">
      <c r="A241" t="s">
        <v>1179</v>
      </c>
      <c r="B241" t="s">
        <v>1180</v>
      </c>
      <c r="C241">
        <v>0</v>
      </c>
      <c r="D241">
        <v>0</v>
      </c>
      <c r="E241">
        <v>0</v>
      </c>
      <c r="F241">
        <v>0</v>
      </c>
      <c r="G241">
        <v>197736.1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98786.34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103040.5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114081.55</v>
      </c>
      <c r="BH241">
        <v>0</v>
      </c>
      <c r="BI241">
        <v>157515.60999999999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</row>
    <row r="242" spans="1:71" x14ac:dyDescent="0.25">
      <c r="A242" t="s">
        <v>1181</v>
      </c>
      <c r="B242" t="s">
        <v>1182</v>
      </c>
      <c r="C242">
        <v>167704.43</v>
      </c>
      <c r="D242">
        <v>0</v>
      </c>
      <c r="E242">
        <v>0</v>
      </c>
      <c r="F242">
        <v>0</v>
      </c>
      <c r="G242">
        <v>135268.82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2181.66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53827.69</v>
      </c>
      <c r="BE242">
        <v>0</v>
      </c>
      <c r="BF242">
        <v>0</v>
      </c>
      <c r="BG242">
        <v>91334.56</v>
      </c>
      <c r="BH242">
        <v>0</v>
      </c>
      <c r="BI242">
        <v>34145.199999999997</v>
      </c>
      <c r="BJ242">
        <v>0</v>
      </c>
      <c r="BK242">
        <v>0</v>
      </c>
      <c r="BL242">
        <v>0</v>
      </c>
      <c r="BM242">
        <v>5654.72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5481.9</v>
      </c>
    </row>
    <row r="243" spans="1:71" x14ac:dyDescent="0.25">
      <c r="A243" t="s">
        <v>1183</v>
      </c>
      <c r="B243" t="s">
        <v>1184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155175.67000000001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462.12</v>
      </c>
      <c r="Z243">
        <v>0</v>
      </c>
      <c r="AA243">
        <v>0</v>
      </c>
      <c r="AB243">
        <v>0</v>
      </c>
      <c r="AC243">
        <v>0</v>
      </c>
      <c r="AD243">
        <v>2000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34770.239999999998</v>
      </c>
      <c r="BE243">
        <v>0</v>
      </c>
      <c r="BF243">
        <v>0</v>
      </c>
      <c r="BG243">
        <v>177395.12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10150.370000000001</v>
      </c>
    </row>
    <row r="244" spans="1:71" x14ac:dyDescent="0.25">
      <c r="A244" t="s">
        <v>1185</v>
      </c>
      <c r="B244" t="s">
        <v>1186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776.62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7360.3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</row>
    <row r="245" spans="1:71" x14ac:dyDescent="0.25">
      <c r="A245" t="s">
        <v>1187</v>
      </c>
      <c r="B245" t="s">
        <v>1188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22842.68</v>
      </c>
      <c r="Y245">
        <v>1503</v>
      </c>
      <c r="Z245">
        <v>1500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5449.21</v>
      </c>
      <c r="BH245">
        <v>0</v>
      </c>
      <c r="BI245">
        <v>5348.97</v>
      </c>
      <c r="BJ245">
        <v>0</v>
      </c>
      <c r="BK245">
        <v>4149.6400000000003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</row>
    <row r="246" spans="1:71" x14ac:dyDescent="0.25">
      <c r="A246" t="s">
        <v>1189</v>
      </c>
      <c r="B246" t="s">
        <v>1190</v>
      </c>
      <c r="C246">
        <v>232628.09</v>
      </c>
      <c r="D246">
        <v>304137.15000000002</v>
      </c>
      <c r="E246">
        <v>0</v>
      </c>
      <c r="F246">
        <v>65963.009999999995</v>
      </c>
      <c r="G246">
        <v>49877.279999999999</v>
      </c>
      <c r="H246">
        <v>184639.57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10590.46</v>
      </c>
      <c r="R246">
        <v>0</v>
      </c>
      <c r="S246">
        <v>0</v>
      </c>
      <c r="T246">
        <v>0</v>
      </c>
      <c r="U246">
        <v>0</v>
      </c>
      <c r="V246">
        <v>3365.54</v>
      </c>
      <c r="W246">
        <v>0</v>
      </c>
      <c r="X246">
        <v>44602.16</v>
      </c>
      <c r="Y246">
        <v>0</v>
      </c>
      <c r="Z246">
        <v>0</v>
      </c>
      <c r="AA246">
        <v>3077.01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17939.78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826.97</v>
      </c>
      <c r="BE246">
        <v>115197.23</v>
      </c>
      <c r="BF246">
        <v>0</v>
      </c>
      <c r="BG246">
        <v>27589.360000000001</v>
      </c>
      <c r="BH246">
        <v>0</v>
      </c>
      <c r="BI246">
        <v>5803.06</v>
      </c>
      <c r="BJ246">
        <v>0</v>
      </c>
      <c r="BK246">
        <v>0</v>
      </c>
      <c r="BL246">
        <v>0</v>
      </c>
      <c r="BM246">
        <v>5303.14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</row>
    <row r="247" spans="1:71" x14ac:dyDescent="0.25">
      <c r="A247" t="s">
        <v>1191</v>
      </c>
      <c r="B247" t="s">
        <v>1192</v>
      </c>
      <c r="C247">
        <v>2591</v>
      </c>
      <c r="D247">
        <v>6625.75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36755.120000000003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16650.12</v>
      </c>
      <c r="BE247">
        <v>0</v>
      </c>
      <c r="BF247">
        <v>0</v>
      </c>
      <c r="BG247">
        <v>25860.03</v>
      </c>
      <c r="BH247">
        <v>0</v>
      </c>
      <c r="BI247">
        <v>52538.46</v>
      </c>
      <c r="BJ247">
        <v>0</v>
      </c>
      <c r="BK247">
        <v>0</v>
      </c>
      <c r="BL247">
        <v>0</v>
      </c>
      <c r="BM247">
        <v>4579.32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</row>
    <row r="248" spans="1:71" x14ac:dyDescent="0.25">
      <c r="A248" t="s">
        <v>1193</v>
      </c>
      <c r="B248" t="s">
        <v>1194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33678.800000000003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2891.4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2221</v>
      </c>
      <c r="BH248">
        <v>0</v>
      </c>
      <c r="BI248">
        <v>3371.29</v>
      </c>
      <c r="BJ248">
        <v>0</v>
      </c>
      <c r="BK248">
        <v>0</v>
      </c>
      <c r="BL248">
        <v>0</v>
      </c>
      <c r="BM248">
        <v>5332.42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</row>
    <row r="249" spans="1:71" x14ac:dyDescent="0.25">
      <c r="A249" t="s">
        <v>1195</v>
      </c>
      <c r="B249" t="s">
        <v>1196</v>
      </c>
      <c r="C249">
        <v>0</v>
      </c>
      <c r="D249">
        <v>3027.09</v>
      </c>
      <c r="E249">
        <v>0</v>
      </c>
      <c r="F249">
        <v>0</v>
      </c>
      <c r="G249">
        <v>34771.1</v>
      </c>
      <c r="H249">
        <v>0</v>
      </c>
      <c r="I249">
        <v>0</v>
      </c>
      <c r="J249">
        <v>0</v>
      </c>
      <c r="K249">
        <v>1706.59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125223.7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52687.88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33339.14</v>
      </c>
      <c r="BE249">
        <v>0</v>
      </c>
      <c r="BF249">
        <v>0</v>
      </c>
      <c r="BG249">
        <v>28664.42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43492.98</v>
      </c>
    </row>
    <row r="250" spans="1:71" x14ac:dyDescent="0.25">
      <c r="A250" t="s">
        <v>1197</v>
      </c>
      <c r="B250" t="s">
        <v>1198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1314.06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2000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</row>
    <row r="251" spans="1:71" x14ac:dyDescent="0.25">
      <c r="A251" t="s">
        <v>1199</v>
      </c>
      <c r="B251" t="s">
        <v>1200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660.5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8464.5400000000009</v>
      </c>
      <c r="W251">
        <v>0</v>
      </c>
      <c r="X251">
        <v>9600.16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26791.35</v>
      </c>
      <c r="BH251">
        <v>0</v>
      </c>
      <c r="BI251">
        <v>38422.03</v>
      </c>
      <c r="BJ251">
        <v>0</v>
      </c>
      <c r="BK251">
        <v>0</v>
      </c>
      <c r="BL251">
        <v>0</v>
      </c>
      <c r="BM251">
        <v>6081.84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</row>
    <row r="252" spans="1:71" x14ac:dyDescent="0.25">
      <c r="A252" t="s">
        <v>1201</v>
      </c>
      <c r="B252" t="s">
        <v>1202</v>
      </c>
      <c r="C252">
        <v>17981.810000000001</v>
      </c>
      <c r="D252">
        <v>0</v>
      </c>
      <c r="E252">
        <v>0</v>
      </c>
      <c r="F252">
        <v>0</v>
      </c>
      <c r="G252">
        <v>62376.75</v>
      </c>
      <c r="H252">
        <v>29351.08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0.01</v>
      </c>
      <c r="Y252">
        <v>0</v>
      </c>
      <c r="Z252">
        <v>1420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15280.15</v>
      </c>
      <c r="BE252">
        <v>0</v>
      </c>
      <c r="BF252">
        <v>0</v>
      </c>
      <c r="BG252">
        <v>23280.720000000001</v>
      </c>
      <c r="BH252">
        <v>0</v>
      </c>
      <c r="BI252">
        <v>2876.63</v>
      </c>
      <c r="BJ252">
        <v>0</v>
      </c>
      <c r="BK252">
        <v>0</v>
      </c>
      <c r="BL252">
        <v>0</v>
      </c>
      <c r="BM252">
        <v>6827.48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</row>
    <row r="253" spans="1:71" x14ac:dyDescent="0.25">
      <c r="A253" t="s">
        <v>1203</v>
      </c>
      <c r="B253" t="s">
        <v>1204</v>
      </c>
      <c r="C253">
        <v>108661.05</v>
      </c>
      <c r="D253">
        <v>0</v>
      </c>
      <c r="E253">
        <v>0</v>
      </c>
      <c r="F253">
        <v>0</v>
      </c>
      <c r="G253">
        <v>92968.52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102455.27</v>
      </c>
      <c r="R253">
        <v>0</v>
      </c>
      <c r="S253">
        <v>0</v>
      </c>
      <c r="T253">
        <v>0</v>
      </c>
      <c r="U253">
        <v>0</v>
      </c>
      <c r="V253">
        <v>1924.55</v>
      </c>
      <c r="W253">
        <v>0</v>
      </c>
      <c r="X253">
        <v>30128.47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9920.0499999999993</v>
      </c>
      <c r="BE253">
        <v>0</v>
      </c>
      <c r="BF253">
        <v>0</v>
      </c>
      <c r="BG253">
        <v>13744.66</v>
      </c>
      <c r="BH253">
        <v>0</v>
      </c>
      <c r="BI253">
        <v>300.88</v>
      </c>
      <c r="BJ253">
        <v>0</v>
      </c>
      <c r="BK253">
        <v>0</v>
      </c>
      <c r="BL253">
        <v>0</v>
      </c>
      <c r="BM253">
        <v>30062.66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</row>
    <row r="254" spans="1:71" x14ac:dyDescent="0.25">
      <c r="A254" t="s">
        <v>1205</v>
      </c>
      <c r="B254" t="s">
        <v>1206</v>
      </c>
      <c r="C254">
        <v>0</v>
      </c>
      <c r="D254">
        <v>4421.01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24988.85</v>
      </c>
      <c r="R254">
        <v>53488.480000000003</v>
      </c>
      <c r="S254">
        <v>0</v>
      </c>
      <c r="T254">
        <v>0</v>
      </c>
      <c r="U254">
        <v>0</v>
      </c>
      <c r="V254">
        <v>442.91</v>
      </c>
      <c r="W254">
        <v>0</v>
      </c>
      <c r="X254">
        <v>40502.33</v>
      </c>
      <c r="Y254">
        <v>6017.82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17689.759999999998</v>
      </c>
      <c r="BE254">
        <v>0</v>
      </c>
      <c r="BF254">
        <v>0</v>
      </c>
      <c r="BG254">
        <v>2435.85</v>
      </c>
      <c r="BH254">
        <v>0</v>
      </c>
      <c r="BI254">
        <v>16013.16</v>
      </c>
      <c r="BJ254">
        <v>0</v>
      </c>
      <c r="BK254">
        <v>6910.78</v>
      </c>
      <c r="BL254">
        <v>0</v>
      </c>
      <c r="BM254">
        <v>38960.33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</row>
    <row r="255" spans="1:71" x14ac:dyDescent="0.25">
      <c r="A255" t="s">
        <v>1207</v>
      </c>
      <c r="B255" t="s">
        <v>1208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70312.41</v>
      </c>
      <c r="I255">
        <v>0</v>
      </c>
      <c r="J255">
        <v>0</v>
      </c>
      <c r="K255">
        <v>0</v>
      </c>
      <c r="L255">
        <v>2094.6799999999998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4237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12403.54</v>
      </c>
      <c r="BE255">
        <v>0</v>
      </c>
      <c r="BF255">
        <v>0</v>
      </c>
      <c r="BG255">
        <v>2636.14</v>
      </c>
      <c r="BH255">
        <v>0</v>
      </c>
      <c r="BI255">
        <v>7710.06</v>
      </c>
      <c r="BJ255">
        <v>0</v>
      </c>
      <c r="BK255">
        <v>0</v>
      </c>
      <c r="BL255">
        <v>0</v>
      </c>
      <c r="BM255">
        <v>1560.34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</row>
    <row r="256" spans="1:71" x14ac:dyDescent="0.25">
      <c r="A256" t="s">
        <v>1209</v>
      </c>
      <c r="B256" t="s">
        <v>1210</v>
      </c>
      <c r="C256">
        <v>0</v>
      </c>
      <c r="D256">
        <v>0</v>
      </c>
      <c r="E256">
        <v>0</v>
      </c>
      <c r="F256">
        <v>16574.97</v>
      </c>
      <c r="G256">
        <v>33793.47</v>
      </c>
      <c r="H256">
        <v>104284.16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801.59</v>
      </c>
      <c r="W256">
        <v>0</v>
      </c>
      <c r="X256">
        <v>1778.22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17279.97</v>
      </c>
      <c r="BE256">
        <v>0</v>
      </c>
      <c r="BF256">
        <v>0</v>
      </c>
      <c r="BG256">
        <v>13166.33</v>
      </c>
      <c r="BH256">
        <v>0</v>
      </c>
      <c r="BI256">
        <v>8146.74</v>
      </c>
      <c r="BJ256">
        <v>0</v>
      </c>
      <c r="BK256">
        <v>0</v>
      </c>
      <c r="BL256">
        <v>0</v>
      </c>
      <c r="BM256">
        <v>5905.24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</row>
    <row r="257" spans="1:71" x14ac:dyDescent="0.25">
      <c r="A257" t="s">
        <v>1211</v>
      </c>
      <c r="B257" t="s">
        <v>1212</v>
      </c>
      <c r="C257">
        <v>0</v>
      </c>
      <c r="D257">
        <v>0</v>
      </c>
      <c r="E257">
        <v>0</v>
      </c>
      <c r="F257">
        <v>42710.61</v>
      </c>
      <c r="G257">
        <v>0</v>
      </c>
      <c r="H257">
        <v>30666.26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18737.830000000002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412.7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796.71</v>
      </c>
      <c r="BB257">
        <v>0</v>
      </c>
      <c r="BC257">
        <v>0</v>
      </c>
      <c r="BD257">
        <v>30257.73</v>
      </c>
      <c r="BE257">
        <v>0</v>
      </c>
      <c r="BF257">
        <v>0</v>
      </c>
      <c r="BG257">
        <v>9391.6200000000008</v>
      </c>
      <c r="BH257">
        <v>0</v>
      </c>
      <c r="BI257">
        <v>82459.38</v>
      </c>
      <c r="BJ257">
        <v>0</v>
      </c>
      <c r="BK257">
        <v>0</v>
      </c>
      <c r="BL257">
        <v>0</v>
      </c>
      <c r="BM257">
        <v>6895.26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55</v>
      </c>
    </row>
    <row r="258" spans="1:71" x14ac:dyDescent="0.25">
      <c r="A258" t="s">
        <v>1213</v>
      </c>
      <c r="B258" t="s">
        <v>1214</v>
      </c>
      <c r="C258">
        <v>0</v>
      </c>
      <c r="D258">
        <v>0</v>
      </c>
      <c r="E258">
        <v>59331.3</v>
      </c>
      <c r="F258">
        <v>0</v>
      </c>
      <c r="G258">
        <v>5069.34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96986.84</v>
      </c>
      <c r="R258">
        <v>0</v>
      </c>
      <c r="S258">
        <v>0</v>
      </c>
      <c r="T258">
        <v>0</v>
      </c>
      <c r="U258">
        <v>0</v>
      </c>
      <c r="V258">
        <v>1297.83</v>
      </c>
      <c r="W258">
        <v>0</v>
      </c>
      <c r="X258">
        <v>55863.6</v>
      </c>
      <c r="Y258">
        <v>507.93</v>
      </c>
      <c r="Z258">
        <v>0</v>
      </c>
      <c r="AA258">
        <v>13523.38</v>
      </c>
      <c r="AB258">
        <v>13767.46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1731.9</v>
      </c>
      <c r="AZ258">
        <v>0</v>
      </c>
      <c r="BA258">
        <v>0</v>
      </c>
      <c r="BB258">
        <v>0</v>
      </c>
      <c r="BC258">
        <v>0</v>
      </c>
      <c r="BD258">
        <v>17536.400000000001</v>
      </c>
      <c r="BE258">
        <v>0</v>
      </c>
      <c r="BF258">
        <v>0</v>
      </c>
      <c r="BG258">
        <v>9352.2000000000007</v>
      </c>
      <c r="BH258">
        <v>0</v>
      </c>
      <c r="BI258">
        <v>49611.7</v>
      </c>
      <c r="BJ258">
        <v>0</v>
      </c>
      <c r="BK258">
        <v>4563.91</v>
      </c>
      <c r="BL258">
        <v>0</v>
      </c>
      <c r="BM258">
        <v>204395.68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</row>
    <row r="259" spans="1:71" x14ac:dyDescent="0.25">
      <c r="A259" t="s">
        <v>1215</v>
      </c>
      <c r="B259" t="s">
        <v>1216</v>
      </c>
      <c r="C259">
        <v>0</v>
      </c>
      <c r="D259">
        <v>2696.63</v>
      </c>
      <c r="E259">
        <v>0</v>
      </c>
      <c r="F259">
        <v>0</v>
      </c>
      <c r="G259">
        <v>40306.47</v>
      </c>
      <c r="H259">
        <v>46629.17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5241</v>
      </c>
      <c r="W259">
        <v>0</v>
      </c>
      <c r="X259">
        <v>34943.120000000003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28221.919999999998</v>
      </c>
      <c r="BE259">
        <v>0</v>
      </c>
      <c r="BF259">
        <v>0</v>
      </c>
      <c r="BG259">
        <v>25944.55</v>
      </c>
      <c r="BH259">
        <v>0</v>
      </c>
      <c r="BI259">
        <v>15761.04</v>
      </c>
      <c r="BJ259">
        <v>0</v>
      </c>
      <c r="BK259">
        <v>0</v>
      </c>
      <c r="BL259">
        <v>0</v>
      </c>
      <c r="BM259">
        <v>6410.54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</row>
    <row r="260" spans="1:71" x14ac:dyDescent="0.25">
      <c r="A260" t="s">
        <v>1217</v>
      </c>
      <c r="B260" t="s">
        <v>1218</v>
      </c>
      <c r="C260">
        <v>61902.94</v>
      </c>
      <c r="D260">
        <v>0</v>
      </c>
      <c r="E260">
        <v>0</v>
      </c>
      <c r="F260">
        <v>0</v>
      </c>
      <c r="G260">
        <v>50950.36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24.9</v>
      </c>
      <c r="W260">
        <v>0</v>
      </c>
      <c r="X260">
        <v>13711.74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8267.4699999999993</v>
      </c>
      <c r="BE260">
        <v>0</v>
      </c>
      <c r="BF260">
        <v>0</v>
      </c>
      <c r="BG260">
        <v>0</v>
      </c>
      <c r="BH260">
        <v>0</v>
      </c>
      <c r="BI260">
        <v>14088.2</v>
      </c>
      <c r="BJ260">
        <v>0</v>
      </c>
      <c r="BK260">
        <v>937.84</v>
      </c>
      <c r="BL260">
        <v>0</v>
      </c>
      <c r="BM260">
        <v>2365.52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350000</v>
      </c>
    </row>
    <row r="261" spans="1:71" x14ac:dyDescent="0.25">
      <c r="A261" t="s">
        <v>1219</v>
      </c>
      <c r="B261" t="s">
        <v>1220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467131.35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26827.38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8131.18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34173.24</v>
      </c>
      <c r="BE261">
        <v>0</v>
      </c>
      <c r="BF261">
        <v>0</v>
      </c>
      <c r="BG261">
        <v>54809.599999999999</v>
      </c>
      <c r="BH261">
        <v>0</v>
      </c>
      <c r="BI261">
        <v>89273.1</v>
      </c>
      <c r="BJ261">
        <v>0</v>
      </c>
      <c r="BK261">
        <v>0</v>
      </c>
      <c r="BL261">
        <v>0</v>
      </c>
      <c r="BM261">
        <v>3524.49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</row>
    <row r="262" spans="1:71" x14ac:dyDescent="0.25">
      <c r="A262" t="s">
        <v>1221</v>
      </c>
      <c r="B262" t="s">
        <v>1222</v>
      </c>
      <c r="C262">
        <v>0</v>
      </c>
      <c r="D262">
        <v>0</v>
      </c>
      <c r="E262">
        <v>0</v>
      </c>
      <c r="F262">
        <v>0</v>
      </c>
      <c r="G262">
        <v>14013.79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15504.8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2243.15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</row>
    <row r="263" spans="1:71" x14ac:dyDescent="0.25">
      <c r="A263" t="s">
        <v>1223</v>
      </c>
      <c r="B263" t="s">
        <v>1224</v>
      </c>
      <c r="C263">
        <v>0</v>
      </c>
      <c r="D263">
        <v>0</v>
      </c>
      <c r="E263">
        <v>0</v>
      </c>
      <c r="F263">
        <v>3298.13</v>
      </c>
      <c r="G263">
        <v>12279.45</v>
      </c>
      <c r="H263">
        <v>16378.39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83492.38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8172.08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7630.39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</row>
    <row r="264" spans="1:71" x14ac:dyDescent="0.25">
      <c r="A264" t="s">
        <v>1225</v>
      </c>
      <c r="B264" t="s">
        <v>1226</v>
      </c>
      <c r="C264">
        <v>0</v>
      </c>
      <c r="D264">
        <v>0</v>
      </c>
      <c r="E264">
        <v>0</v>
      </c>
      <c r="F264">
        <v>26964.01</v>
      </c>
      <c r="G264">
        <v>5454.95</v>
      </c>
      <c r="H264">
        <v>15029.82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108916.33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8678.0499999999993</v>
      </c>
      <c r="Y264">
        <v>0</v>
      </c>
      <c r="Z264">
        <v>0</v>
      </c>
      <c r="AA264">
        <v>0</v>
      </c>
      <c r="AB264">
        <v>11.03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35792.129999999997</v>
      </c>
      <c r="BE264">
        <v>0</v>
      </c>
      <c r="BF264">
        <v>0</v>
      </c>
      <c r="BG264">
        <v>44.54</v>
      </c>
      <c r="BH264">
        <v>0</v>
      </c>
      <c r="BI264">
        <v>97.81</v>
      </c>
      <c r="BJ264">
        <v>0</v>
      </c>
      <c r="BK264">
        <v>0</v>
      </c>
      <c r="BL264">
        <v>0</v>
      </c>
      <c r="BM264">
        <v>3681.64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</row>
    <row r="265" spans="1:71" x14ac:dyDescent="0.25">
      <c r="A265" t="s">
        <v>1227</v>
      </c>
      <c r="B265" t="s">
        <v>1228</v>
      </c>
      <c r="C265">
        <v>0</v>
      </c>
      <c r="D265">
        <v>0</v>
      </c>
      <c r="E265">
        <v>0</v>
      </c>
      <c r="F265">
        <v>0</v>
      </c>
      <c r="G265">
        <v>53193.84</v>
      </c>
      <c r="H265">
        <v>121527.62</v>
      </c>
      <c r="I265">
        <v>0</v>
      </c>
      <c r="J265">
        <v>0</v>
      </c>
      <c r="K265">
        <v>8557.11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50.49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8223.3799999999992</v>
      </c>
      <c r="BE265">
        <v>0</v>
      </c>
      <c r="BF265">
        <v>0</v>
      </c>
      <c r="BG265">
        <v>30706.799999999999</v>
      </c>
      <c r="BH265">
        <v>0</v>
      </c>
      <c r="BI265">
        <v>97218.05</v>
      </c>
      <c r="BJ265">
        <v>0</v>
      </c>
      <c r="BK265">
        <v>0</v>
      </c>
      <c r="BL265">
        <v>0</v>
      </c>
      <c r="BM265">
        <v>5573.57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7.93</v>
      </c>
    </row>
    <row r="266" spans="1:71" x14ac:dyDescent="0.25">
      <c r="A266" t="s">
        <v>1229</v>
      </c>
      <c r="B266" t="s">
        <v>1230</v>
      </c>
      <c r="C266">
        <v>109915.31</v>
      </c>
      <c r="D266">
        <v>0</v>
      </c>
      <c r="E266">
        <v>0</v>
      </c>
      <c r="F266">
        <v>650.23</v>
      </c>
      <c r="G266">
        <v>90520.33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65464</v>
      </c>
      <c r="R266">
        <v>0</v>
      </c>
      <c r="S266">
        <v>0</v>
      </c>
      <c r="T266">
        <v>0</v>
      </c>
      <c r="U266">
        <v>0</v>
      </c>
      <c r="V266">
        <v>396.47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22266.13</v>
      </c>
      <c r="BE266">
        <v>0</v>
      </c>
      <c r="BF266">
        <v>0</v>
      </c>
      <c r="BG266">
        <v>46815.360000000001</v>
      </c>
      <c r="BH266">
        <v>0</v>
      </c>
      <c r="BI266">
        <v>51516.93</v>
      </c>
      <c r="BJ266">
        <v>0</v>
      </c>
      <c r="BK266">
        <v>0</v>
      </c>
      <c r="BL266">
        <v>0</v>
      </c>
      <c r="BM266">
        <v>7451.68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</row>
    <row r="267" spans="1:71" x14ac:dyDescent="0.25">
      <c r="A267" t="s">
        <v>1231</v>
      </c>
      <c r="B267" t="s">
        <v>1232</v>
      </c>
      <c r="C267">
        <v>7037.05</v>
      </c>
      <c r="D267">
        <v>34465.25</v>
      </c>
      <c r="E267">
        <v>0</v>
      </c>
      <c r="F267">
        <v>0</v>
      </c>
      <c r="G267">
        <v>0</v>
      </c>
      <c r="H267">
        <v>77663.45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21366.75</v>
      </c>
      <c r="R267">
        <v>39264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2000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3071.74</v>
      </c>
      <c r="BE267">
        <v>0</v>
      </c>
      <c r="BF267">
        <v>0</v>
      </c>
      <c r="BG267">
        <v>1563.15</v>
      </c>
      <c r="BH267">
        <v>0</v>
      </c>
      <c r="BI267">
        <v>2681.16</v>
      </c>
      <c r="BJ267">
        <v>0</v>
      </c>
      <c r="BK267">
        <v>0</v>
      </c>
      <c r="BL267">
        <v>0</v>
      </c>
      <c r="BM267">
        <v>6213.91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</row>
    <row r="268" spans="1:71" x14ac:dyDescent="0.25">
      <c r="A268" t="s">
        <v>1233</v>
      </c>
      <c r="B268" t="s">
        <v>1234</v>
      </c>
      <c r="C268">
        <v>0</v>
      </c>
      <c r="D268">
        <v>1987.68</v>
      </c>
      <c r="E268">
        <v>0</v>
      </c>
      <c r="F268">
        <v>0</v>
      </c>
      <c r="G268">
        <v>5125.53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6241.11</v>
      </c>
      <c r="R268">
        <v>0</v>
      </c>
      <c r="S268">
        <v>0</v>
      </c>
      <c r="T268">
        <v>0</v>
      </c>
      <c r="U268">
        <v>0</v>
      </c>
      <c r="V268">
        <v>9012.66</v>
      </c>
      <c r="W268">
        <v>0</v>
      </c>
      <c r="X268">
        <v>381.89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19957.740000000002</v>
      </c>
      <c r="BE268">
        <v>0</v>
      </c>
      <c r="BF268">
        <v>0</v>
      </c>
      <c r="BG268">
        <v>21249.279999999999</v>
      </c>
      <c r="BH268">
        <v>0</v>
      </c>
      <c r="BI268">
        <v>22088.11</v>
      </c>
      <c r="BJ268">
        <v>0</v>
      </c>
      <c r="BK268">
        <v>0</v>
      </c>
      <c r="BL268">
        <v>0</v>
      </c>
      <c r="BM268">
        <v>6955.54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</row>
    <row r="269" spans="1:71" x14ac:dyDescent="0.25">
      <c r="A269" t="s">
        <v>1235</v>
      </c>
      <c r="B269" t="s">
        <v>1236</v>
      </c>
      <c r="C269">
        <v>78050.89</v>
      </c>
      <c r="D269">
        <v>0</v>
      </c>
      <c r="E269">
        <v>0</v>
      </c>
      <c r="F269">
        <v>0</v>
      </c>
      <c r="G269">
        <v>16002.96</v>
      </c>
      <c r="H269">
        <v>50345.94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729.78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5136.24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36129.06</v>
      </c>
      <c r="BE269">
        <v>0</v>
      </c>
      <c r="BF269">
        <v>0</v>
      </c>
      <c r="BG269">
        <v>15219.81</v>
      </c>
      <c r="BH269">
        <v>0</v>
      </c>
      <c r="BI269">
        <v>148.62</v>
      </c>
      <c r="BJ269">
        <v>0</v>
      </c>
      <c r="BK269">
        <v>5340.14</v>
      </c>
      <c r="BL269">
        <v>0</v>
      </c>
      <c r="BM269">
        <v>8938.39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</row>
    <row r="270" spans="1:71" x14ac:dyDescent="0.25">
      <c r="A270" t="s">
        <v>1237</v>
      </c>
      <c r="B270" t="s">
        <v>1238</v>
      </c>
      <c r="C270">
        <v>0</v>
      </c>
      <c r="D270">
        <v>0</v>
      </c>
      <c r="E270">
        <v>0</v>
      </c>
      <c r="F270">
        <v>0</v>
      </c>
      <c r="G270">
        <v>46377.16</v>
      </c>
      <c r="H270">
        <v>102862.01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9466.7099999999991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385.09</v>
      </c>
      <c r="Y270">
        <v>0</v>
      </c>
      <c r="Z270">
        <v>0</v>
      </c>
      <c r="AA270">
        <v>2254.34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18221.57</v>
      </c>
      <c r="BE270">
        <v>0</v>
      </c>
      <c r="BF270">
        <v>0</v>
      </c>
      <c r="BG270">
        <v>53769.04</v>
      </c>
      <c r="BH270">
        <v>0</v>
      </c>
      <c r="BI270">
        <v>55781.24</v>
      </c>
      <c r="BJ270">
        <v>0</v>
      </c>
      <c r="BK270">
        <v>2121.1</v>
      </c>
      <c r="BL270">
        <v>0</v>
      </c>
      <c r="BM270">
        <v>3434.77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</row>
    <row r="271" spans="1:71" x14ac:dyDescent="0.25">
      <c r="A271" t="s">
        <v>1239</v>
      </c>
      <c r="B271" t="s">
        <v>1240</v>
      </c>
      <c r="C271">
        <v>0</v>
      </c>
      <c r="D271">
        <v>34217.42</v>
      </c>
      <c r="E271">
        <v>0</v>
      </c>
      <c r="F271">
        <v>0</v>
      </c>
      <c r="G271">
        <v>552096.81999999995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566682.01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261076.5</v>
      </c>
      <c r="Y271">
        <v>0</v>
      </c>
      <c r="Z271">
        <v>0</v>
      </c>
      <c r="AA271">
        <v>44151.35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13233.91</v>
      </c>
      <c r="BE271">
        <v>0</v>
      </c>
      <c r="BF271">
        <v>0</v>
      </c>
      <c r="BG271">
        <v>1119339.94</v>
      </c>
      <c r="BH271">
        <v>0</v>
      </c>
      <c r="BI271">
        <v>203745.59</v>
      </c>
      <c r="BJ271">
        <v>0</v>
      </c>
      <c r="BK271">
        <v>128348.68</v>
      </c>
      <c r="BL271">
        <v>0</v>
      </c>
      <c r="BM271">
        <v>310449.61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</row>
    <row r="272" spans="1:71" x14ac:dyDescent="0.25">
      <c r="A272" t="s">
        <v>1241</v>
      </c>
      <c r="B272" t="s">
        <v>1242</v>
      </c>
      <c r="C272">
        <v>0</v>
      </c>
      <c r="D272">
        <v>1779</v>
      </c>
      <c r="E272">
        <v>0</v>
      </c>
      <c r="F272">
        <v>24744.45</v>
      </c>
      <c r="G272">
        <v>0</v>
      </c>
      <c r="H272">
        <v>109667.61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14344.05</v>
      </c>
      <c r="R272">
        <v>0</v>
      </c>
      <c r="S272">
        <v>0</v>
      </c>
      <c r="T272">
        <v>0</v>
      </c>
      <c r="U272">
        <v>0</v>
      </c>
      <c r="V272">
        <v>1702.86</v>
      </c>
      <c r="W272">
        <v>0</v>
      </c>
      <c r="X272">
        <v>0</v>
      </c>
      <c r="Y272">
        <v>2910.4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32920.68</v>
      </c>
      <c r="BE272">
        <v>0</v>
      </c>
      <c r="BF272">
        <v>0</v>
      </c>
      <c r="BG272">
        <v>4013.43</v>
      </c>
      <c r="BH272">
        <v>0</v>
      </c>
      <c r="BI272">
        <v>6634.57</v>
      </c>
      <c r="BJ272">
        <v>0</v>
      </c>
      <c r="BK272">
        <v>6652.03</v>
      </c>
      <c r="BL272">
        <v>0</v>
      </c>
      <c r="BM272">
        <v>13027.23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1177.6300000000001</v>
      </c>
    </row>
    <row r="273" spans="1:71" x14ac:dyDescent="0.25">
      <c r="A273" t="s">
        <v>1243</v>
      </c>
      <c r="B273" t="s">
        <v>1244</v>
      </c>
      <c r="C273">
        <v>0</v>
      </c>
      <c r="D273">
        <v>0</v>
      </c>
      <c r="E273">
        <v>0</v>
      </c>
      <c r="F273">
        <v>0</v>
      </c>
      <c r="G273">
        <v>82909.83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199647.82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273.45</v>
      </c>
      <c r="BE273">
        <v>0</v>
      </c>
      <c r="BF273">
        <v>0</v>
      </c>
      <c r="BG273">
        <v>10573.12</v>
      </c>
      <c r="BH273">
        <v>0</v>
      </c>
      <c r="BI273">
        <v>20737.27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</row>
    <row r="274" spans="1:71" x14ac:dyDescent="0.25">
      <c r="A274" t="s">
        <v>1245</v>
      </c>
      <c r="B274" t="s">
        <v>1246</v>
      </c>
      <c r="C274">
        <v>0</v>
      </c>
      <c r="D274">
        <v>1800</v>
      </c>
      <c r="E274">
        <v>0</v>
      </c>
      <c r="F274">
        <v>67046.78</v>
      </c>
      <c r="G274">
        <v>64142.82</v>
      </c>
      <c r="H274">
        <v>24435.15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110587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17664.150000000001</v>
      </c>
      <c r="Y274">
        <v>0</v>
      </c>
      <c r="Z274">
        <v>0</v>
      </c>
      <c r="AA274">
        <v>50433.65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30012.16</v>
      </c>
      <c r="BE274">
        <v>0</v>
      </c>
      <c r="BF274">
        <v>0</v>
      </c>
      <c r="BG274">
        <v>37346.089999999997</v>
      </c>
      <c r="BH274">
        <v>0</v>
      </c>
      <c r="BI274">
        <v>11281.56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</row>
    <row r="275" spans="1:71" x14ac:dyDescent="0.25">
      <c r="A275" t="s">
        <v>1247</v>
      </c>
      <c r="B275" t="s">
        <v>1248</v>
      </c>
      <c r="C275">
        <v>0</v>
      </c>
      <c r="D275">
        <v>152625.5</v>
      </c>
      <c r="E275">
        <v>0</v>
      </c>
      <c r="F275">
        <v>12806.37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5395.16</v>
      </c>
      <c r="Q275">
        <v>153974.04</v>
      </c>
      <c r="R275">
        <v>0</v>
      </c>
      <c r="S275">
        <v>0</v>
      </c>
      <c r="T275">
        <v>0</v>
      </c>
      <c r="U275">
        <v>0</v>
      </c>
      <c r="V275">
        <v>4288.6899999999996</v>
      </c>
      <c r="W275">
        <v>0</v>
      </c>
      <c r="X275">
        <v>9839.18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26496.67</v>
      </c>
      <c r="BE275">
        <v>0</v>
      </c>
      <c r="BF275">
        <v>0</v>
      </c>
      <c r="BG275">
        <v>68949.86</v>
      </c>
      <c r="BH275">
        <v>0</v>
      </c>
      <c r="BI275">
        <v>60115.01</v>
      </c>
      <c r="BJ275">
        <v>0</v>
      </c>
      <c r="BK275">
        <v>0</v>
      </c>
      <c r="BL275">
        <v>0</v>
      </c>
      <c r="BM275">
        <v>6539.15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</row>
    <row r="276" spans="1:71" x14ac:dyDescent="0.25">
      <c r="A276" t="s">
        <v>1249</v>
      </c>
      <c r="B276" t="s">
        <v>1250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66125.740000000005</v>
      </c>
      <c r="R276">
        <v>0</v>
      </c>
      <c r="S276">
        <v>0</v>
      </c>
      <c r="T276">
        <v>0</v>
      </c>
      <c r="U276">
        <v>0</v>
      </c>
      <c r="V276">
        <v>3528.6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29975.49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31561.37</v>
      </c>
      <c r="BE276">
        <v>0</v>
      </c>
      <c r="BF276">
        <v>0</v>
      </c>
      <c r="BG276">
        <v>10706.02</v>
      </c>
      <c r="BH276">
        <v>0</v>
      </c>
      <c r="BI276">
        <v>13572.33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</row>
    <row r="277" spans="1:71" x14ac:dyDescent="0.25">
      <c r="A277" t="s">
        <v>1251</v>
      </c>
      <c r="B277" t="s">
        <v>1252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20067.830000000002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14549.98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26994.31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18594.68</v>
      </c>
      <c r="BE277">
        <v>0</v>
      </c>
      <c r="BF277">
        <v>0</v>
      </c>
      <c r="BG277">
        <v>64.900000000000006</v>
      </c>
      <c r="BH277">
        <v>0</v>
      </c>
      <c r="BI277">
        <v>24050.71</v>
      </c>
      <c r="BJ277">
        <v>0</v>
      </c>
      <c r="BK277">
        <v>2018.68</v>
      </c>
      <c r="BL277">
        <v>0</v>
      </c>
      <c r="BM277">
        <v>5810.64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</row>
    <row r="278" spans="1:71" x14ac:dyDescent="0.25">
      <c r="A278" t="s">
        <v>1253</v>
      </c>
      <c r="B278" t="s">
        <v>1254</v>
      </c>
      <c r="C278">
        <v>7.75</v>
      </c>
      <c r="D278">
        <v>0</v>
      </c>
      <c r="E278">
        <v>0</v>
      </c>
      <c r="F278">
        <v>0</v>
      </c>
      <c r="G278">
        <v>103683.7</v>
      </c>
      <c r="H278">
        <v>82585.929999999993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56594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46392.71</v>
      </c>
      <c r="Y278">
        <v>0</v>
      </c>
      <c r="Z278">
        <v>0</v>
      </c>
      <c r="AA278">
        <v>1211.32</v>
      </c>
      <c r="AB278">
        <v>0</v>
      </c>
      <c r="AC278">
        <v>0</v>
      </c>
      <c r="AD278">
        <v>22695.45</v>
      </c>
      <c r="AE278">
        <v>17496.05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24273.77</v>
      </c>
      <c r="BE278">
        <v>0</v>
      </c>
      <c r="BF278">
        <v>0</v>
      </c>
      <c r="BG278">
        <v>21147</v>
      </c>
      <c r="BH278">
        <v>0</v>
      </c>
      <c r="BI278">
        <v>105551.67</v>
      </c>
      <c r="BJ278">
        <v>0</v>
      </c>
      <c r="BK278">
        <v>0</v>
      </c>
      <c r="BL278">
        <v>0</v>
      </c>
      <c r="BM278">
        <v>4422.9399999999996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</row>
    <row r="279" spans="1:71" x14ac:dyDescent="0.25">
      <c r="A279" t="s">
        <v>1255</v>
      </c>
      <c r="B279" t="s">
        <v>1256</v>
      </c>
      <c r="C279">
        <v>0</v>
      </c>
      <c r="D279">
        <v>0</v>
      </c>
      <c r="E279">
        <v>0</v>
      </c>
      <c r="F279">
        <v>0</v>
      </c>
      <c r="G279">
        <v>75335.67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16532.02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12769.42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25866.66</v>
      </c>
      <c r="BE279">
        <v>0</v>
      </c>
      <c r="BF279">
        <v>0</v>
      </c>
      <c r="BG279">
        <v>14712.13</v>
      </c>
      <c r="BH279">
        <v>0</v>
      </c>
      <c r="BI279">
        <v>8455.48</v>
      </c>
      <c r="BJ279">
        <v>0</v>
      </c>
      <c r="BK279">
        <v>0</v>
      </c>
      <c r="BL279">
        <v>0</v>
      </c>
      <c r="BM279">
        <v>1734.06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10021.26</v>
      </c>
    </row>
    <row r="280" spans="1:71" x14ac:dyDescent="0.25">
      <c r="A280" t="s">
        <v>1257</v>
      </c>
      <c r="B280" t="s">
        <v>1258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2304.71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68186.09</v>
      </c>
      <c r="R280">
        <v>0</v>
      </c>
      <c r="S280">
        <v>0</v>
      </c>
      <c r="T280">
        <v>0</v>
      </c>
      <c r="U280">
        <v>0</v>
      </c>
      <c r="V280">
        <v>1262.6400000000001</v>
      </c>
      <c r="W280">
        <v>0</v>
      </c>
      <c r="X280">
        <v>19901.23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1421.76</v>
      </c>
      <c r="BH280">
        <v>0</v>
      </c>
      <c r="BI280">
        <v>11687.93</v>
      </c>
      <c r="BJ280">
        <v>0</v>
      </c>
      <c r="BK280">
        <v>0</v>
      </c>
      <c r="BL280">
        <v>0</v>
      </c>
      <c r="BM280">
        <v>3168.37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</row>
    <row r="281" spans="1:71" x14ac:dyDescent="0.25">
      <c r="A281" t="s">
        <v>1259</v>
      </c>
      <c r="B281" t="s">
        <v>1260</v>
      </c>
      <c r="C281">
        <v>0</v>
      </c>
      <c r="D281">
        <v>145885.10999999999</v>
      </c>
      <c r="E281">
        <v>0</v>
      </c>
      <c r="F281">
        <v>41542.71</v>
      </c>
      <c r="G281">
        <v>157359.06</v>
      </c>
      <c r="H281">
        <v>255891.68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13641.58</v>
      </c>
      <c r="R281">
        <v>0</v>
      </c>
      <c r="S281">
        <v>0</v>
      </c>
      <c r="T281">
        <v>0</v>
      </c>
      <c r="U281">
        <v>0</v>
      </c>
      <c r="V281">
        <v>87629.74</v>
      </c>
      <c r="W281">
        <v>0</v>
      </c>
      <c r="X281">
        <v>223501.84</v>
      </c>
      <c r="Y281">
        <v>0</v>
      </c>
      <c r="Z281">
        <v>0</v>
      </c>
      <c r="AA281">
        <v>77486.080000000002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185</v>
      </c>
      <c r="AT281">
        <v>9332.68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130613.95</v>
      </c>
      <c r="BE281">
        <v>0</v>
      </c>
      <c r="BF281">
        <v>0</v>
      </c>
      <c r="BG281">
        <v>23150.99</v>
      </c>
      <c r="BH281">
        <v>0</v>
      </c>
      <c r="BI281">
        <v>476914.88</v>
      </c>
      <c r="BJ281">
        <v>0</v>
      </c>
      <c r="BK281">
        <v>0</v>
      </c>
      <c r="BL281">
        <v>0</v>
      </c>
      <c r="BM281">
        <v>245722.23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</row>
    <row r="282" spans="1:71" x14ac:dyDescent="0.25">
      <c r="A282" t="s">
        <v>1261</v>
      </c>
      <c r="B282" t="s">
        <v>1262</v>
      </c>
      <c r="C282">
        <v>0</v>
      </c>
      <c r="D282">
        <v>0</v>
      </c>
      <c r="E282">
        <v>0</v>
      </c>
      <c r="F282">
        <v>2878.96</v>
      </c>
      <c r="G282">
        <v>131135.07</v>
      </c>
      <c r="H282">
        <v>2251.1799999999998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18325.509999999998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74635.899999999994</v>
      </c>
      <c r="Y282">
        <v>1538.22</v>
      </c>
      <c r="Z282">
        <v>0</v>
      </c>
      <c r="AA282">
        <v>44627.040000000001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50534.239999999998</v>
      </c>
      <c r="BE282">
        <v>0</v>
      </c>
      <c r="BF282">
        <v>0</v>
      </c>
      <c r="BG282">
        <v>132093.21</v>
      </c>
      <c r="BH282">
        <v>0</v>
      </c>
      <c r="BI282">
        <v>369.87</v>
      </c>
      <c r="BJ282">
        <v>0</v>
      </c>
      <c r="BK282">
        <v>0</v>
      </c>
      <c r="BL282">
        <v>0</v>
      </c>
      <c r="BM282">
        <v>118.59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</row>
    <row r="283" spans="1:71" x14ac:dyDescent="0.25">
      <c r="A283" t="s">
        <v>1263</v>
      </c>
      <c r="B283" t="s">
        <v>1264</v>
      </c>
      <c r="C283">
        <v>0</v>
      </c>
      <c r="D283">
        <v>0</v>
      </c>
      <c r="E283">
        <v>0</v>
      </c>
      <c r="F283">
        <v>0</v>
      </c>
      <c r="G283">
        <v>39551.65</v>
      </c>
      <c r="H283">
        <v>58784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64301.2</v>
      </c>
      <c r="R283">
        <v>0</v>
      </c>
      <c r="S283">
        <v>0</v>
      </c>
      <c r="T283">
        <v>0</v>
      </c>
      <c r="U283">
        <v>0</v>
      </c>
      <c r="V283">
        <v>613.41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18525.099999999999</v>
      </c>
      <c r="BE283">
        <v>0</v>
      </c>
      <c r="BF283">
        <v>0</v>
      </c>
      <c r="BG283">
        <v>27599.119999999999</v>
      </c>
      <c r="BH283">
        <v>0</v>
      </c>
      <c r="BI283">
        <v>1780.68</v>
      </c>
      <c r="BJ283">
        <v>0</v>
      </c>
      <c r="BK283">
        <v>0</v>
      </c>
      <c r="BL283">
        <v>0</v>
      </c>
      <c r="BM283">
        <v>7917.03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</row>
    <row r="284" spans="1:71" x14ac:dyDescent="0.25">
      <c r="A284" t="s">
        <v>1265</v>
      </c>
      <c r="B284" t="s">
        <v>1266</v>
      </c>
      <c r="C284">
        <v>0</v>
      </c>
      <c r="D284">
        <v>4322.88</v>
      </c>
      <c r="E284">
        <v>0</v>
      </c>
      <c r="F284">
        <v>1042.54</v>
      </c>
      <c r="G284">
        <v>42470.89</v>
      </c>
      <c r="H284">
        <v>0</v>
      </c>
      <c r="I284">
        <v>0</v>
      </c>
      <c r="J284">
        <v>0</v>
      </c>
      <c r="K284">
        <v>1102.55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5718.51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27744.15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25689.47</v>
      </c>
      <c r="BE284">
        <v>0</v>
      </c>
      <c r="BF284">
        <v>0</v>
      </c>
      <c r="BG284">
        <v>11911.99</v>
      </c>
      <c r="BH284">
        <v>0</v>
      </c>
      <c r="BI284">
        <v>26.47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2065.02</v>
      </c>
    </row>
    <row r="285" spans="1:71" x14ac:dyDescent="0.25">
      <c r="A285" t="s">
        <v>1267</v>
      </c>
      <c r="B285" t="s">
        <v>1268</v>
      </c>
      <c r="C285">
        <v>0</v>
      </c>
      <c r="D285">
        <v>0</v>
      </c>
      <c r="E285">
        <v>0</v>
      </c>
      <c r="F285">
        <v>4399</v>
      </c>
      <c r="G285">
        <v>54175.59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19069.82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10548.51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26426.42</v>
      </c>
      <c r="BE285">
        <v>0</v>
      </c>
      <c r="BF285">
        <v>0</v>
      </c>
      <c r="BG285">
        <v>11130.03</v>
      </c>
      <c r="BH285">
        <v>0</v>
      </c>
      <c r="BI285">
        <v>3166.78</v>
      </c>
      <c r="BJ285">
        <v>0</v>
      </c>
      <c r="BK285">
        <v>0</v>
      </c>
      <c r="BL285">
        <v>0</v>
      </c>
      <c r="BM285">
        <v>3523.42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</row>
    <row r="286" spans="1:71" x14ac:dyDescent="0.25">
      <c r="A286" t="s">
        <v>1269</v>
      </c>
      <c r="B286" t="s">
        <v>1270</v>
      </c>
      <c r="C286">
        <v>0</v>
      </c>
      <c r="D286">
        <v>0</v>
      </c>
      <c r="E286">
        <v>0</v>
      </c>
      <c r="F286">
        <v>0</v>
      </c>
      <c r="G286">
        <v>57548.81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3242.68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54432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664.5</v>
      </c>
      <c r="BB286">
        <v>0</v>
      </c>
      <c r="BC286">
        <v>0</v>
      </c>
      <c r="BD286">
        <v>7522.32</v>
      </c>
      <c r="BE286">
        <v>0</v>
      </c>
      <c r="BF286">
        <v>0</v>
      </c>
      <c r="BG286">
        <v>16652.18</v>
      </c>
      <c r="BH286">
        <v>0</v>
      </c>
      <c r="BI286">
        <v>22315.23</v>
      </c>
      <c r="BJ286">
        <v>0</v>
      </c>
      <c r="BK286">
        <v>0</v>
      </c>
      <c r="BL286">
        <v>0</v>
      </c>
      <c r="BM286">
        <v>523.71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</row>
    <row r="287" spans="1:71" x14ac:dyDescent="0.25">
      <c r="A287" t="s">
        <v>1271</v>
      </c>
      <c r="B287" t="s">
        <v>1272</v>
      </c>
      <c r="C287">
        <v>0</v>
      </c>
      <c r="D287">
        <v>66282.61</v>
      </c>
      <c r="E287">
        <v>0</v>
      </c>
      <c r="F287">
        <v>0</v>
      </c>
      <c r="G287">
        <v>199250.92</v>
      </c>
      <c r="H287">
        <v>145287.49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15070.04</v>
      </c>
      <c r="Y287">
        <v>0</v>
      </c>
      <c r="Z287">
        <v>0</v>
      </c>
      <c r="AA287">
        <v>0</v>
      </c>
      <c r="AB287">
        <v>218.11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5021.53</v>
      </c>
      <c r="BH287">
        <v>0</v>
      </c>
      <c r="BI287">
        <v>19403.39</v>
      </c>
      <c r="BJ287">
        <v>0</v>
      </c>
      <c r="BK287">
        <v>11741.17</v>
      </c>
      <c r="BL287">
        <v>0</v>
      </c>
      <c r="BM287">
        <v>10355.92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</row>
    <row r="288" spans="1:71" x14ac:dyDescent="0.25">
      <c r="A288" t="s">
        <v>1273</v>
      </c>
      <c r="B288" t="s">
        <v>1274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6569.28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1695.33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</row>
    <row r="289" spans="1:71" x14ac:dyDescent="0.25">
      <c r="A289" t="s">
        <v>1275</v>
      </c>
      <c r="B289" t="s">
        <v>1276</v>
      </c>
      <c r="C289">
        <v>9793.4</v>
      </c>
      <c r="D289">
        <v>0</v>
      </c>
      <c r="E289">
        <v>0</v>
      </c>
      <c r="F289">
        <v>55589.43</v>
      </c>
      <c r="G289">
        <v>8850.7999999999993</v>
      </c>
      <c r="H289">
        <v>11766.94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82727.8</v>
      </c>
      <c r="R289">
        <v>0</v>
      </c>
      <c r="S289">
        <v>0</v>
      </c>
      <c r="T289">
        <v>0</v>
      </c>
      <c r="U289">
        <v>0</v>
      </c>
      <c r="V289">
        <v>5302.77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28365.46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6329.8</v>
      </c>
      <c r="BN289">
        <v>0</v>
      </c>
      <c r="BO289">
        <v>4567.8</v>
      </c>
      <c r="BP289">
        <v>0</v>
      </c>
      <c r="BQ289">
        <v>0</v>
      </c>
      <c r="BR289">
        <v>0</v>
      </c>
      <c r="BS289">
        <v>0</v>
      </c>
    </row>
    <row r="290" spans="1:71" x14ac:dyDescent="0.25">
      <c r="A290" t="s">
        <v>1277</v>
      </c>
      <c r="B290" t="s">
        <v>1278</v>
      </c>
      <c r="C290">
        <v>0</v>
      </c>
      <c r="D290">
        <v>0</v>
      </c>
      <c r="E290">
        <v>0</v>
      </c>
      <c r="F290">
        <v>0</v>
      </c>
      <c r="G290">
        <v>36227.85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280266.7</v>
      </c>
      <c r="R290">
        <v>0</v>
      </c>
      <c r="S290">
        <v>0</v>
      </c>
      <c r="T290">
        <v>11583.12</v>
      </c>
      <c r="U290">
        <v>0</v>
      </c>
      <c r="V290">
        <v>0</v>
      </c>
      <c r="W290">
        <v>0</v>
      </c>
      <c r="X290">
        <v>25288.92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32330.78</v>
      </c>
      <c r="BE290">
        <v>0</v>
      </c>
      <c r="BF290">
        <v>0</v>
      </c>
      <c r="BG290">
        <v>33015.11</v>
      </c>
      <c r="BH290">
        <v>0</v>
      </c>
      <c r="BI290">
        <v>26214.23</v>
      </c>
      <c r="BJ290">
        <v>0</v>
      </c>
      <c r="BK290">
        <v>0</v>
      </c>
      <c r="BL290">
        <v>0</v>
      </c>
      <c r="BM290">
        <v>8214.51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</row>
    <row r="291" spans="1:71" x14ac:dyDescent="0.25">
      <c r="A291" t="s">
        <v>1279</v>
      </c>
      <c r="B291" t="s">
        <v>1280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68667.41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1751.51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21639.91</v>
      </c>
      <c r="BE291">
        <v>0</v>
      </c>
      <c r="BF291">
        <v>0</v>
      </c>
      <c r="BG291">
        <v>26539.86</v>
      </c>
      <c r="BH291">
        <v>0</v>
      </c>
      <c r="BI291">
        <v>23755.41</v>
      </c>
      <c r="BJ291">
        <v>0</v>
      </c>
      <c r="BK291">
        <v>0</v>
      </c>
      <c r="BL291">
        <v>0</v>
      </c>
      <c r="BM291">
        <v>562.82000000000005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</row>
    <row r="292" spans="1:71" x14ac:dyDescent="0.25">
      <c r="A292" t="s">
        <v>1281</v>
      </c>
      <c r="B292" t="s">
        <v>1282</v>
      </c>
      <c r="C292">
        <v>0</v>
      </c>
      <c r="D292">
        <v>0</v>
      </c>
      <c r="E292">
        <v>0</v>
      </c>
      <c r="F292">
        <v>0</v>
      </c>
      <c r="G292">
        <v>53637.77</v>
      </c>
      <c r="H292">
        <v>55644.42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613.66</v>
      </c>
      <c r="W292">
        <v>0</v>
      </c>
      <c r="X292">
        <v>10998.67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30399.95</v>
      </c>
      <c r="BE292">
        <v>0</v>
      </c>
      <c r="BF292">
        <v>0</v>
      </c>
      <c r="BG292">
        <v>0</v>
      </c>
      <c r="BH292">
        <v>0</v>
      </c>
      <c r="BI292">
        <v>28668.23</v>
      </c>
      <c r="BJ292">
        <v>0</v>
      </c>
      <c r="BK292">
        <v>0</v>
      </c>
      <c r="BL292">
        <v>0</v>
      </c>
      <c r="BM292">
        <v>7211.16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</row>
    <row r="293" spans="1:71" x14ac:dyDescent="0.25">
      <c r="A293" t="s">
        <v>1283</v>
      </c>
      <c r="B293" t="s">
        <v>1284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47433.440000000002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32822.019999999997</v>
      </c>
      <c r="BE293">
        <v>0</v>
      </c>
      <c r="BF293">
        <v>0</v>
      </c>
      <c r="BG293">
        <v>25535.13</v>
      </c>
      <c r="BH293">
        <v>0</v>
      </c>
      <c r="BI293">
        <v>25105.01</v>
      </c>
      <c r="BJ293">
        <v>0</v>
      </c>
      <c r="BK293">
        <v>0</v>
      </c>
      <c r="BL293">
        <v>0</v>
      </c>
      <c r="BM293">
        <v>7294.34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</row>
    <row r="294" spans="1:71" x14ac:dyDescent="0.25">
      <c r="A294" t="s">
        <v>1285</v>
      </c>
      <c r="B294" t="s">
        <v>1286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4386.79</v>
      </c>
      <c r="BH294">
        <v>0</v>
      </c>
      <c r="BI294">
        <v>2497.59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</row>
    <row r="295" spans="1:71" x14ac:dyDescent="0.25">
      <c r="A295" t="s">
        <v>1287</v>
      </c>
      <c r="B295" t="s">
        <v>1288</v>
      </c>
      <c r="C295">
        <v>0</v>
      </c>
      <c r="D295">
        <v>0</v>
      </c>
      <c r="E295">
        <v>0</v>
      </c>
      <c r="F295">
        <v>0</v>
      </c>
      <c r="G295">
        <v>71765.570000000007</v>
      </c>
      <c r="H295">
        <v>84946.98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14653.23</v>
      </c>
      <c r="R295">
        <v>0</v>
      </c>
      <c r="S295">
        <v>0</v>
      </c>
      <c r="T295">
        <v>0</v>
      </c>
      <c r="U295">
        <v>0</v>
      </c>
      <c r="V295">
        <v>876.32</v>
      </c>
      <c r="W295">
        <v>0</v>
      </c>
      <c r="X295">
        <v>15535.55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21395.81</v>
      </c>
      <c r="BE295">
        <v>0</v>
      </c>
      <c r="BF295">
        <v>0</v>
      </c>
      <c r="BG295">
        <v>17716.41</v>
      </c>
      <c r="BH295">
        <v>0</v>
      </c>
      <c r="BI295">
        <v>10196.17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</row>
    <row r="296" spans="1:71" x14ac:dyDescent="0.25">
      <c r="A296" t="s">
        <v>1289</v>
      </c>
      <c r="B296" t="s">
        <v>1290</v>
      </c>
      <c r="C296">
        <v>0</v>
      </c>
      <c r="D296">
        <v>1714</v>
      </c>
      <c r="E296">
        <v>0</v>
      </c>
      <c r="F296">
        <v>0</v>
      </c>
      <c r="G296">
        <v>25013.24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48799.66</v>
      </c>
      <c r="R296">
        <v>0</v>
      </c>
      <c r="S296">
        <v>0</v>
      </c>
      <c r="T296">
        <v>0</v>
      </c>
      <c r="U296">
        <v>0</v>
      </c>
      <c r="V296">
        <v>231.52</v>
      </c>
      <c r="W296">
        <v>0</v>
      </c>
      <c r="X296">
        <v>53204.14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27440.25</v>
      </c>
      <c r="BE296">
        <v>0</v>
      </c>
      <c r="BF296">
        <v>0</v>
      </c>
      <c r="BG296">
        <v>611.09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6362.51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200000</v>
      </c>
    </row>
    <row r="297" spans="1:71" x14ac:dyDescent="0.25">
      <c r="A297" t="s">
        <v>1291</v>
      </c>
      <c r="B297" t="s">
        <v>1292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8975.59</v>
      </c>
      <c r="R297">
        <v>0</v>
      </c>
      <c r="S297">
        <v>0</v>
      </c>
      <c r="T297">
        <v>0</v>
      </c>
      <c r="U297">
        <v>0</v>
      </c>
      <c r="V297">
        <v>4131.71</v>
      </c>
      <c r="W297">
        <v>0</v>
      </c>
      <c r="X297">
        <v>1112.54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8158.84</v>
      </c>
      <c r="BH297">
        <v>0</v>
      </c>
      <c r="BI297">
        <v>28912.76</v>
      </c>
      <c r="BJ297">
        <v>0</v>
      </c>
      <c r="BK297">
        <v>3314.39</v>
      </c>
      <c r="BL297">
        <v>0</v>
      </c>
      <c r="BM297">
        <v>2870.36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</row>
    <row r="298" spans="1:71" x14ac:dyDescent="0.25">
      <c r="A298" t="s">
        <v>1293</v>
      </c>
      <c r="B298" t="s">
        <v>1294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3739.68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22656.93</v>
      </c>
      <c r="BE298">
        <v>0</v>
      </c>
      <c r="BF298">
        <v>0</v>
      </c>
      <c r="BG298">
        <v>0</v>
      </c>
      <c r="BH298">
        <v>0</v>
      </c>
      <c r="BI298">
        <v>3444.24</v>
      </c>
      <c r="BJ298">
        <v>0</v>
      </c>
      <c r="BK298">
        <v>0</v>
      </c>
      <c r="BL298">
        <v>0</v>
      </c>
      <c r="BM298">
        <v>130.88999999999999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</row>
    <row r="299" spans="1:71" x14ac:dyDescent="0.25">
      <c r="A299" t="s">
        <v>1295</v>
      </c>
      <c r="B299" t="s">
        <v>1296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51357.279999999999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6602.34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16307.7</v>
      </c>
      <c r="BE299">
        <v>0</v>
      </c>
      <c r="BF299">
        <v>0</v>
      </c>
      <c r="BG299">
        <v>1087.3</v>
      </c>
      <c r="BH299">
        <v>0</v>
      </c>
      <c r="BI299">
        <v>940.23</v>
      </c>
      <c r="BJ299">
        <v>0</v>
      </c>
      <c r="BK299">
        <v>0</v>
      </c>
      <c r="BL299">
        <v>0</v>
      </c>
      <c r="BM299">
        <v>3910.86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5802.49</v>
      </c>
    </row>
    <row r="300" spans="1:71" x14ac:dyDescent="0.25">
      <c r="A300" t="s">
        <v>1297</v>
      </c>
      <c r="B300" t="s">
        <v>1298</v>
      </c>
      <c r="C300">
        <v>17409</v>
      </c>
      <c r="D300">
        <v>0</v>
      </c>
      <c r="E300">
        <v>0</v>
      </c>
      <c r="F300">
        <v>54211</v>
      </c>
      <c r="G300">
        <v>13964.9</v>
      </c>
      <c r="H300">
        <v>219215.82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28988.67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8493.25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81405.119999999995</v>
      </c>
      <c r="BH300">
        <v>0</v>
      </c>
      <c r="BI300">
        <v>48364.46</v>
      </c>
      <c r="BJ300">
        <v>0</v>
      </c>
      <c r="BK300">
        <v>3072.47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</row>
    <row r="301" spans="1:71" x14ac:dyDescent="0.25">
      <c r="A301" t="s">
        <v>1299</v>
      </c>
      <c r="B301" t="s">
        <v>1300</v>
      </c>
      <c r="C301">
        <v>0</v>
      </c>
      <c r="D301">
        <v>18736.43</v>
      </c>
      <c r="E301">
        <v>0</v>
      </c>
      <c r="F301">
        <v>0</v>
      </c>
      <c r="G301">
        <v>0</v>
      </c>
      <c r="H301">
        <v>36059.800000000003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1254.58</v>
      </c>
      <c r="V301">
        <v>0</v>
      </c>
      <c r="W301">
        <v>0</v>
      </c>
      <c r="X301">
        <v>0</v>
      </c>
      <c r="Y301">
        <v>18.46</v>
      </c>
      <c r="Z301">
        <v>0</v>
      </c>
      <c r="AA301">
        <v>20145.5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14667.68</v>
      </c>
      <c r="BE301">
        <v>0</v>
      </c>
      <c r="BF301">
        <v>0</v>
      </c>
      <c r="BG301">
        <v>8220.1299999999992</v>
      </c>
      <c r="BH301">
        <v>0</v>
      </c>
      <c r="BI301">
        <v>24862.03</v>
      </c>
      <c r="BJ301">
        <v>0</v>
      </c>
      <c r="BK301">
        <v>0</v>
      </c>
      <c r="BL301">
        <v>0</v>
      </c>
      <c r="BM301">
        <v>6111.77</v>
      </c>
      <c r="BN301">
        <v>0</v>
      </c>
      <c r="BO301">
        <v>231.4</v>
      </c>
      <c r="BP301">
        <v>0</v>
      </c>
      <c r="BQ301">
        <v>0</v>
      </c>
      <c r="BR301">
        <v>0</v>
      </c>
      <c r="BS301">
        <v>9719.7099999999991</v>
      </c>
    </row>
    <row r="302" spans="1:71" x14ac:dyDescent="0.25">
      <c r="A302" t="s">
        <v>1301</v>
      </c>
      <c r="B302" t="s">
        <v>1302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655.64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140277.04999999999</v>
      </c>
      <c r="BH302">
        <v>0</v>
      </c>
      <c r="BI302">
        <v>63430.559999999998</v>
      </c>
      <c r="BJ302">
        <v>0</v>
      </c>
      <c r="BK302">
        <v>5742.93</v>
      </c>
      <c r="BL302">
        <v>0</v>
      </c>
      <c r="BM302">
        <v>13697.53</v>
      </c>
      <c r="BN302">
        <v>0</v>
      </c>
      <c r="BO302">
        <v>0</v>
      </c>
      <c r="BP302">
        <v>9942.1</v>
      </c>
      <c r="BQ302">
        <v>0</v>
      </c>
      <c r="BR302">
        <v>0</v>
      </c>
      <c r="BS302">
        <v>0</v>
      </c>
    </row>
    <row r="303" spans="1:71" x14ac:dyDescent="0.25">
      <c r="A303" t="s">
        <v>1303</v>
      </c>
      <c r="B303" t="s">
        <v>1304</v>
      </c>
      <c r="C303">
        <v>1091.5999999999999</v>
      </c>
      <c r="D303">
        <v>0</v>
      </c>
      <c r="E303">
        <v>0</v>
      </c>
      <c r="F303">
        <v>0</v>
      </c>
      <c r="G303">
        <v>0</v>
      </c>
      <c r="H303">
        <v>1490.44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53830.75</v>
      </c>
      <c r="R303">
        <v>0</v>
      </c>
      <c r="S303">
        <v>0</v>
      </c>
      <c r="T303">
        <v>0</v>
      </c>
      <c r="U303">
        <v>0</v>
      </c>
      <c r="V303">
        <v>2477.64</v>
      </c>
      <c r="W303">
        <v>0</v>
      </c>
      <c r="X303">
        <v>0</v>
      </c>
      <c r="Y303">
        <v>0</v>
      </c>
      <c r="Z303">
        <v>0</v>
      </c>
      <c r="AA303">
        <v>12756.34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22645.14</v>
      </c>
      <c r="BE303">
        <v>0</v>
      </c>
      <c r="BF303">
        <v>0</v>
      </c>
      <c r="BG303">
        <v>21602.62</v>
      </c>
      <c r="BH303">
        <v>0</v>
      </c>
      <c r="BI303">
        <v>5893.3</v>
      </c>
      <c r="BJ303">
        <v>0</v>
      </c>
      <c r="BK303">
        <v>3206.46</v>
      </c>
      <c r="BL303">
        <v>0</v>
      </c>
      <c r="BM303">
        <v>3126.72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</row>
    <row r="304" spans="1:71" x14ac:dyDescent="0.25">
      <c r="A304" t="s">
        <v>1305</v>
      </c>
      <c r="B304" t="s">
        <v>1306</v>
      </c>
      <c r="C304">
        <v>0</v>
      </c>
      <c r="D304">
        <v>185685.53</v>
      </c>
      <c r="E304">
        <v>0</v>
      </c>
      <c r="F304">
        <v>0</v>
      </c>
      <c r="G304">
        <v>59036.82</v>
      </c>
      <c r="H304">
        <v>113432.5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196910.23</v>
      </c>
      <c r="R304">
        <v>0</v>
      </c>
      <c r="S304">
        <v>0</v>
      </c>
      <c r="T304">
        <v>0</v>
      </c>
      <c r="U304">
        <v>0</v>
      </c>
      <c r="V304">
        <v>647.95000000000005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17291.580000000002</v>
      </c>
      <c r="BE304">
        <v>0</v>
      </c>
      <c r="BF304">
        <v>0</v>
      </c>
      <c r="BG304">
        <v>33010.400000000001</v>
      </c>
      <c r="BH304">
        <v>0</v>
      </c>
      <c r="BI304">
        <v>7517.97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</row>
    <row r="305" spans="1:71" x14ac:dyDescent="0.25">
      <c r="A305" t="s">
        <v>1307</v>
      </c>
      <c r="B305" t="s">
        <v>1308</v>
      </c>
      <c r="C305">
        <v>1269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2000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8054.78</v>
      </c>
      <c r="W305">
        <v>0</v>
      </c>
      <c r="X305">
        <v>18313.05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2927.84</v>
      </c>
      <c r="BJ305">
        <v>0</v>
      </c>
      <c r="BK305">
        <v>0</v>
      </c>
      <c r="BL305">
        <v>0</v>
      </c>
      <c r="BM305">
        <v>0</v>
      </c>
      <c r="BN305">
        <v>2119.35</v>
      </c>
      <c r="BO305">
        <v>0</v>
      </c>
      <c r="BP305">
        <v>0</v>
      </c>
      <c r="BQ305">
        <v>0</v>
      </c>
      <c r="BR305">
        <v>0</v>
      </c>
      <c r="BS305">
        <v>0</v>
      </c>
    </row>
    <row r="306" spans="1:71" x14ac:dyDescent="0.25">
      <c r="A306" t="s">
        <v>1309</v>
      </c>
      <c r="B306" t="s">
        <v>1310</v>
      </c>
      <c r="C306">
        <v>0</v>
      </c>
      <c r="D306">
        <v>46811.97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17684.8</v>
      </c>
      <c r="BE306">
        <v>0</v>
      </c>
      <c r="BF306">
        <v>0</v>
      </c>
      <c r="BG306">
        <v>23904.5</v>
      </c>
      <c r="BH306">
        <v>0</v>
      </c>
      <c r="BI306">
        <v>27572.31</v>
      </c>
      <c r="BJ306">
        <v>0</v>
      </c>
      <c r="BK306">
        <v>177.49</v>
      </c>
      <c r="BL306">
        <v>0</v>
      </c>
      <c r="BM306">
        <v>5844.77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</row>
    <row r="307" spans="1:71" x14ac:dyDescent="0.25">
      <c r="A307" t="s">
        <v>1311</v>
      </c>
      <c r="B307" t="s">
        <v>1312</v>
      </c>
      <c r="C307">
        <v>0</v>
      </c>
      <c r="D307">
        <v>0</v>
      </c>
      <c r="E307">
        <v>0</v>
      </c>
      <c r="F307">
        <v>0</v>
      </c>
      <c r="G307">
        <v>13139.79</v>
      </c>
      <c r="H307">
        <v>38318.07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7166.14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16444.189999999999</v>
      </c>
      <c r="Y307">
        <v>3078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2674.99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2969.56</v>
      </c>
      <c r="BL307">
        <v>0</v>
      </c>
      <c r="BM307">
        <v>6239.14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</row>
    <row r="308" spans="1:71" x14ac:dyDescent="0.25">
      <c r="A308" t="s">
        <v>1313</v>
      </c>
      <c r="B308" t="s">
        <v>1314</v>
      </c>
      <c r="C308">
        <v>5439.68</v>
      </c>
      <c r="D308">
        <v>7146.73</v>
      </c>
      <c r="E308">
        <v>0</v>
      </c>
      <c r="F308">
        <v>16957.03</v>
      </c>
      <c r="G308">
        <v>111620.64</v>
      </c>
      <c r="H308">
        <v>200563.82</v>
      </c>
      <c r="I308">
        <v>0</v>
      </c>
      <c r="J308">
        <v>0</v>
      </c>
      <c r="K308">
        <v>33187.629999999997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126833.78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23115.46</v>
      </c>
      <c r="BE308">
        <v>0</v>
      </c>
      <c r="BF308">
        <v>0</v>
      </c>
      <c r="BG308">
        <v>9006.42</v>
      </c>
      <c r="BH308">
        <v>0</v>
      </c>
      <c r="BI308">
        <v>31591.24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700</v>
      </c>
      <c r="BP308">
        <v>0</v>
      </c>
      <c r="BQ308">
        <v>0</v>
      </c>
      <c r="BR308">
        <v>0</v>
      </c>
      <c r="BS308">
        <v>2400</v>
      </c>
    </row>
    <row r="309" spans="1:71" x14ac:dyDescent="0.25">
      <c r="A309" t="s">
        <v>1315</v>
      </c>
      <c r="B309" t="s">
        <v>1316</v>
      </c>
      <c r="C309">
        <v>17919.169999999998</v>
      </c>
      <c r="D309">
        <v>76443.23</v>
      </c>
      <c r="E309">
        <v>0</v>
      </c>
      <c r="F309">
        <v>77545.929999999993</v>
      </c>
      <c r="G309">
        <v>62893.7</v>
      </c>
      <c r="H309">
        <v>6449.6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11324.97</v>
      </c>
      <c r="R309">
        <v>0</v>
      </c>
      <c r="S309">
        <v>0</v>
      </c>
      <c r="T309">
        <v>0</v>
      </c>
      <c r="U309">
        <v>0</v>
      </c>
      <c r="V309">
        <v>3896.11</v>
      </c>
      <c r="W309">
        <v>0</v>
      </c>
      <c r="X309">
        <v>2410.89</v>
      </c>
      <c r="Y309">
        <v>0</v>
      </c>
      <c r="Z309">
        <v>931.36</v>
      </c>
      <c r="AA309">
        <v>651.04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15985.83</v>
      </c>
      <c r="BE309">
        <v>0</v>
      </c>
      <c r="BF309">
        <v>0</v>
      </c>
      <c r="BG309">
        <v>45387.03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1793.21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</row>
    <row r="310" spans="1:71" x14ac:dyDescent="0.25">
      <c r="A310" t="s">
        <v>1317</v>
      </c>
      <c r="B310" t="s">
        <v>1318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42777.68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5039.3100000000004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</row>
    <row r="311" spans="1:71" x14ac:dyDescent="0.25">
      <c r="A311" t="s">
        <v>1319</v>
      </c>
      <c r="B311" t="s">
        <v>1320</v>
      </c>
      <c r="C311">
        <v>0</v>
      </c>
      <c r="D311">
        <v>2837.32</v>
      </c>
      <c r="E311">
        <v>0</v>
      </c>
      <c r="F311">
        <v>0</v>
      </c>
      <c r="G311">
        <v>13711.4</v>
      </c>
      <c r="H311">
        <v>34308.29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11257.64</v>
      </c>
      <c r="R311">
        <v>0</v>
      </c>
      <c r="S311">
        <v>0</v>
      </c>
      <c r="T311">
        <v>0</v>
      </c>
      <c r="U311">
        <v>0</v>
      </c>
      <c r="V311">
        <v>3044.78</v>
      </c>
      <c r="W311">
        <v>0</v>
      </c>
      <c r="X311">
        <v>15639.3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800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13195.82</v>
      </c>
      <c r="BE311">
        <v>0</v>
      </c>
      <c r="BF311">
        <v>0</v>
      </c>
      <c r="BG311">
        <v>2739</v>
      </c>
      <c r="BH311">
        <v>0</v>
      </c>
      <c r="BI311">
        <v>13532.05</v>
      </c>
      <c r="BJ311">
        <v>0</v>
      </c>
      <c r="BK311">
        <v>370.58</v>
      </c>
      <c r="BL311">
        <v>0</v>
      </c>
      <c r="BM311">
        <v>5705.64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</row>
    <row r="312" spans="1:71" x14ac:dyDescent="0.25">
      <c r="A312" t="s">
        <v>1321</v>
      </c>
      <c r="B312" t="s">
        <v>1322</v>
      </c>
      <c r="C312">
        <v>0</v>
      </c>
      <c r="D312">
        <v>41196.199999999997</v>
      </c>
      <c r="E312">
        <v>0</v>
      </c>
      <c r="F312">
        <v>0</v>
      </c>
      <c r="G312">
        <v>24236.79</v>
      </c>
      <c r="H312">
        <v>190500.18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16674.66</v>
      </c>
      <c r="R312">
        <v>0</v>
      </c>
      <c r="S312">
        <v>0</v>
      </c>
      <c r="T312">
        <v>0</v>
      </c>
      <c r="U312">
        <v>0</v>
      </c>
      <c r="V312">
        <v>860.5</v>
      </c>
      <c r="W312">
        <v>0</v>
      </c>
      <c r="X312">
        <v>80472.27</v>
      </c>
      <c r="Y312">
        <v>0</v>
      </c>
      <c r="Z312">
        <v>750</v>
      </c>
      <c r="AA312">
        <v>5145.29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45611.47</v>
      </c>
      <c r="BH312">
        <v>0</v>
      </c>
      <c r="BI312">
        <v>19658.02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</row>
    <row r="313" spans="1:71" x14ac:dyDescent="0.25">
      <c r="A313" t="s">
        <v>1323</v>
      </c>
      <c r="B313" t="s">
        <v>1324</v>
      </c>
      <c r="C313">
        <v>51656.15</v>
      </c>
      <c r="D313">
        <v>0</v>
      </c>
      <c r="E313">
        <v>0</v>
      </c>
      <c r="F313">
        <v>0</v>
      </c>
      <c r="G313">
        <v>3702.02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66249.039999999994</v>
      </c>
      <c r="R313">
        <v>0</v>
      </c>
      <c r="S313">
        <v>0</v>
      </c>
      <c r="T313">
        <v>0</v>
      </c>
      <c r="U313">
        <v>0</v>
      </c>
      <c r="V313">
        <v>2537.5</v>
      </c>
      <c r="W313">
        <v>0</v>
      </c>
      <c r="X313">
        <v>63471.040000000001</v>
      </c>
      <c r="Y313">
        <v>0</v>
      </c>
      <c r="Z313">
        <v>0</v>
      </c>
      <c r="AA313">
        <v>0</v>
      </c>
      <c r="AB313">
        <v>81.33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35377.51</v>
      </c>
      <c r="BE313">
        <v>0</v>
      </c>
      <c r="BF313">
        <v>0</v>
      </c>
      <c r="BG313">
        <v>5758.93</v>
      </c>
      <c r="BH313">
        <v>0</v>
      </c>
      <c r="BI313">
        <v>39534.639999999999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</row>
    <row r="314" spans="1:71" x14ac:dyDescent="0.25">
      <c r="A314" t="s">
        <v>1325</v>
      </c>
      <c r="B314" t="s">
        <v>1326</v>
      </c>
      <c r="C314">
        <v>0</v>
      </c>
      <c r="D314">
        <v>62949.13</v>
      </c>
      <c r="E314">
        <v>1262379.79</v>
      </c>
      <c r="F314">
        <v>24509.24</v>
      </c>
      <c r="G314">
        <v>197003.43</v>
      </c>
      <c r="H314">
        <v>7941.71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27812.57</v>
      </c>
      <c r="R314">
        <v>0</v>
      </c>
      <c r="S314">
        <v>0</v>
      </c>
      <c r="T314">
        <v>0</v>
      </c>
      <c r="U314">
        <v>0</v>
      </c>
      <c r="V314">
        <v>25183.89</v>
      </c>
      <c r="W314">
        <v>0</v>
      </c>
      <c r="X314">
        <v>109875.12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40145.69</v>
      </c>
      <c r="BE314">
        <v>0</v>
      </c>
      <c r="BF314">
        <v>0</v>
      </c>
      <c r="BG314">
        <v>0</v>
      </c>
      <c r="BH314">
        <v>0</v>
      </c>
      <c r="BI314">
        <v>24420.57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</row>
    <row r="315" spans="1:71" x14ac:dyDescent="0.25">
      <c r="A315" t="s">
        <v>1327</v>
      </c>
      <c r="B315" t="s">
        <v>1328</v>
      </c>
      <c r="C315">
        <v>0</v>
      </c>
      <c r="D315">
        <v>0</v>
      </c>
      <c r="E315">
        <v>0</v>
      </c>
      <c r="F315">
        <v>0</v>
      </c>
      <c r="G315">
        <v>46062.95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376535.9</v>
      </c>
      <c r="R315">
        <v>0</v>
      </c>
      <c r="S315">
        <v>0</v>
      </c>
      <c r="T315">
        <v>0</v>
      </c>
      <c r="U315">
        <v>0</v>
      </c>
      <c r="V315">
        <v>6920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14414.55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103693.22</v>
      </c>
      <c r="BE315">
        <v>0</v>
      </c>
      <c r="BF315">
        <v>0</v>
      </c>
      <c r="BG315">
        <v>0</v>
      </c>
      <c r="BH315">
        <v>0</v>
      </c>
      <c r="BI315">
        <v>49127.199999999997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</row>
    <row r="316" spans="1:71" x14ac:dyDescent="0.25">
      <c r="A316" t="s">
        <v>1329</v>
      </c>
      <c r="B316" t="s">
        <v>1330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65225.43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14156.33</v>
      </c>
      <c r="W316">
        <v>0</v>
      </c>
      <c r="X316">
        <v>148307.39000000001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110548.87</v>
      </c>
      <c r="BE316">
        <v>0</v>
      </c>
      <c r="BF316">
        <v>0</v>
      </c>
      <c r="BG316">
        <v>307225.03000000003</v>
      </c>
      <c r="BH316">
        <v>0</v>
      </c>
      <c r="BI316">
        <v>207333.86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</row>
    <row r="317" spans="1:71" x14ac:dyDescent="0.25">
      <c r="A317" t="s">
        <v>1331</v>
      </c>
      <c r="B317" t="s">
        <v>1332</v>
      </c>
      <c r="C317">
        <v>0</v>
      </c>
      <c r="D317">
        <v>1910</v>
      </c>
      <c r="E317">
        <v>0</v>
      </c>
      <c r="F317">
        <v>0</v>
      </c>
      <c r="G317">
        <v>31565.63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95125.32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3697.87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8744.41</v>
      </c>
      <c r="BE317">
        <v>0</v>
      </c>
      <c r="BF317">
        <v>0</v>
      </c>
      <c r="BG317">
        <v>152564.64000000001</v>
      </c>
      <c r="BH317">
        <v>0</v>
      </c>
      <c r="BI317">
        <v>277896.92</v>
      </c>
      <c r="BJ317">
        <v>0</v>
      </c>
      <c r="BK317">
        <v>0</v>
      </c>
      <c r="BL317">
        <v>0</v>
      </c>
      <c r="BM317">
        <v>1658.86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</row>
    <row r="318" spans="1:71" x14ac:dyDescent="0.25">
      <c r="A318" t="s">
        <v>1333</v>
      </c>
      <c r="B318" t="s">
        <v>1334</v>
      </c>
      <c r="C318">
        <v>0</v>
      </c>
      <c r="D318">
        <v>149465.57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63903.33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8045.2</v>
      </c>
      <c r="Y318">
        <v>0</v>
      </c>
      <c r="Z318">
        <v>1737.98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29069.1</v>
      </c>
      <c r="BH318">
        <v>0</v>
      </c>
      <c r="BI318">
        <v>65941.09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</row>
    <row r="319" spans="1:71" x14ac:dyDescent="0.25">
      <c r="A319" t="s">
        <v>1335</v>
      </c>
      <c r="B319" t="s">
        <v>1336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45571.09</v>
      </c>
      <c r="R319">
        <v>0</v>
      </c>
      <c r="S319">
        <v>0</v>
      </c>
      <c r="T319">
        <v>0</v>
      </c>
      <c r="U319">
        <v>0</v>
      </c>
      <c r="V319">
        <v>3645.82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26279.439999999999</v>
      </c>
      <c r="BE319">
        <v>0</v>
      </c>
      <c r="BF319">
        <v>0</v>
      </c>
      <c r="BG319">
        <v>0</v>
      </c>
      <c r="BH319">
        <v>0</v>
      </c>
      <c r="BI319">
        <v>28628.49</v>
      </c>
      <c r="BJ319">
        <v>0</v>
      </c>
      <c r="BK319">
        <v>0</v>
      </c>
      <c r="BL319">
        <v>0</v>
      </c>
      <c r="BM319">
        <v>8684.99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9182.67</v>
      </c>
    </row>
    <row r="320" spans="1:71" x14ac:dyDescent="0.25">
      <c r="A320" t="s">
        <v>1337</v>
      </c>
      <c r="B320" t="s">
        <v>1338</v>
      </c>
      <c r="C320">
        <v>2645</v>
      </c>
      <c r="D320">
        <v>0</v>
      </c>
      <c r="E320">
        <v>0</v>
      </c>
      <c r="F320">
        <v>7270.99</v>
      </c>
      <c r="G320">
        <v>5415.81</v>
      </c>
      <c r="H320">
        <v>45451.75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35723.83</v>
      </c>
      <c r="R320">
        <v>0</v>
      </c>
      <c r="S320">
        <v>0</v>
      </c>
      <c r="T320">
        <v>0</v>
      </c>
      <c r="U320">
        <v>0</v>
      </c>
      <c r="V320">
        <v>2484.5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26679.42</v>
      </c>
      <c r="BE320">
        <v>0</v>
      </c>
      <c r="BF320">
        <v>0</v>
      </c>
      <c r="BG320">
        <v>33237.56</v>
      </c>
      <c r="BH320">
        <v>0</v>
      </c>
      <c r="BI320">
        <v>36271.99</v>
      </c>
      <c r="BJ320">
        <v>0</v>
      </c>
      <c r="BK320">
        <v>0</v>
      </c>
      <c r="BL320">
        <v>0</v>
      </c>
      <c r="BM320">
        <v>407.21</v>
      </c>
      <c r="BN320">
        <v>0</v>
      </c>
      <c r="BO320">
        <v>370</v>
      </c>
      <c r="BP320">
        <v>0</v>
      </c>
      <c r="BQ320">
        <v>0</v>
      </c>
      <c r="BR320">
        <v>0</v>
      </c>
      <c r="BS320">
        <v>0</v>
      </c>
    </row>
    <row r="321" spans="1:71" x14ac:dyDescent="0.25">
      <c r="A321" t="s">
        <v>1339</v>
      </c>
      <c r="B321" t="s">
        <v>1340</v>
      </c>
      <c r="C321">
        <v>5275.42</v>
      </c>
      <c r="D321">
        <v>3113</v>
      </c>
      <c r="E321">
        <v>0</v>
      </c>
      <c r="F321">
        <v>0</v>
      </c>
      <c r="G321">
        <v>161064.74</v>
      </c>
      <c r="H321">
        <v>239603.11</v>
      </c>
      <c r="I321">
        <v>0</v>
      </c>
      <c r="J321">
        <v>0</v>
      </c>
      <c r="K321">
        <v>1680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207242.32</v>
      </c>
      <c r="R321">
        <v>0</v>
      </c>
      <c r="S321">
        <v>0</v>
      </c>
      <c r="T321">
        <v>0</v>
      </c>
      <c r="U321">
        <v>0</v>
      </c>
      <c r="V321">
        <v>8601.9699999999993</v>
      </c>
      <c r="W321">
        <v>0</v>
      </c>
      <c r="X321">
        <v>78582.47</v>
      </c>
      <c r="Y321">
        <v>0</v>
      </c>
      <c r="Z321">
        <v>0</v>
      </c>
      <c r="AA321">
        <v>60275.89</v>
      </c>
      <c r="AB321">
        <v>3663.48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3163.67</v>
      </c>
      <c r="BE321">
        <v>0</v>
      </c>
      <c r="BF321">
        <v>0</v>
      </c>
      <c r="BG321">
        <v>8480.52</v>
      </c>
      <c r="BH321">
        <v>0</v>
      </c>
      <c r="BI321">
        <v>2613.37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3275.91</v>
      </c>
    </row>
    <row r="322" spans="1:71" x14ac:dyDescent="0.25">
      <c r="A322" t="s">
        <v>1341</v>
      </c>
      <c r="B322" t="s">
        <v>1342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31925.67</v>
      </c>
      <c r="R322">
        <v>0</v>
      </c>
      <c r="S322">
        <v>0</v>
      </c>
      <c r="T322">
        <v>0</v>
      </c>
      <c r="U322">
        <v>0</v>
      </c>
      <c r="V322">
        <v>3359.1</v>
      </c>
      <c r="W322">
        <v>0</v>
      </c>
      <c r="X322">
        <v>16200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26527.45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</row>
    <row r="323" spans="1:71" x14ac:dyDescent="0.25">
      <c r="A323" t="s">
        <v>1343</v>
      </c>
      <c r="B323" t="s">
        <v>1344</v>
      </c>
      <c r="C323">
        <v>0</v>
      </c>
      <c r="D323">
        <v>3177.09</v>
      </c>
      <c r="E323">
        <v>0</v>
      </c>
      <c r="F323">
        <v>11422</v>
      </c>
      <c r="G323">
        <v>47450.93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1732.47</v>
      </c>
      <c r="W323">
        <v>0</v>
      </c>
      <c r="X323">
        <v>4507.2700000000004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23412.61</v>
      </c>
      <c r="BE323">
        <v>0</v>
      </c>
      <c r="BF323">
        <v>0</v>
      </c>
      <c r="BG323">
        <v>25892.62</v>
      </c>
      <c r="BH323">
        <v>0</v>
      </c>
      <c r="BI323">
        <v>14555.47</v>
      </c>
      <c r="BJ323">
        <v>0</v>
      </c>
      <c r="BK323">
        <v>1924.63</v>
      </c>
      <c r="BL323">
        <v>0</v>
      </c>
      <c r="BM323">
        <v>3665.66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</row>
    <row r="324" spans="1:71" x14ac:dyDescent="0.25">
      <c r="A324" t="s">
        <v>1345</v>
      </c>
      <c r="B324" t="s">
        <v>1346</v>
      </c>
      <c r="C324">
        <v>5281.33</v>
      </c>
      <c r="D324">
        <v>12339.54</v>
      </c>
      <c r="E324">
        <v>0</v>
      </c>
      <c r="F324">
        <v>0</v>
      </c>
      <c r="G324">
        <v>45729.98</v>
      </c>
      <c r="H324">
        <v>124064.7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1438.86</v>
      </c>
      <c r="W324">
        <v>0</v>
      </c>
      <c r="X324">
        <v>145194.67000000001</v>
      </c>
      <c r="Y324">
        <v>0</v>
      </c>
      <c r="Z324">
        <v>0</v>
      </c>
      <c r="AA324">
        <v>0</v>
      </c>
      <c r="AB324">
        <v>87.92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1087.3</v>
      </c>
      <c r="BH324">
        <v>0</v>
      </c>
      <c r="BI324">
        <v>55363.3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2878.25</v>
      </c>
    </row>
    <row r="325" spans="1:71" x14ac:dyDescent="0.25">
      <c r="A325" t="s">
        <v>1347</v>
      </c>
      <c r="B325" t="s">
        <v>1348</v>
      </c>
      <c r="C325">
        <v>0</v>
      </c>
      <c r="D325">
        <v>307371.45</v>
      </c>
      <c r="E325">
        <v>0</v>
      </c>
      <c r="F325">
        <v>28799.49</v>
      </c>
      <c r="G325">
        <v>323546.59999999998</v>
      </c>
      <c r="H325">
        <v>80641.73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89473.33</v>
      </c>
      <c r="R325">
        <v>0</v>
      </c>
      <c r="S325">
        <v>0</v>
      </c>
      <c r="T325">
        <v>0</v>
      </c>
      <c r="U325">
        <v>0</v>
      </c>
      <c r="V325">
        <v>43341.62</v>
      </c>
      <c r="W325">
        <v>0</v>
      </c>
      <c r="X325">
        <v>0</v>
      </c>
      <c r="Y325">
        <v>0</v>
      </c>
      <c r="Z325">
        <v>0</v>
      </c>
      <c r="AA325">
        <v>15101.51</v>
      </c>
      <c r="AB325">
        <v>52720.09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11696.63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157255.4</v>
      </c>
      <c r="BE325">
        <v>0</v>
      </c>
      <c r="BF325">
        <v>0</v>
      </c>
      <c r="BG325">
        <v>203297.22</v>
      </c>
      <c r="BH325">
        <v>0</v>
      </c>
      <c r="BI325">
        <v>242026.04</v>
      </c>
      <c r="BJ325">
        <v>0</v>
      </c>
      <c r="BK325">
        <v>0</v>
      </c>
      <c r="BL325">
        <v>0</v>
      </c>
      <c r="BM325">
        <v>576202.30000000005</v>
      </c>
      <c r="BN325">
        <v>0</v>
      </c>
      <c r="BO325">
        <v>250</v>
      </c>
      <c r="BP325">
        <v>13486.72</v>
      </c>
      <c r="BQ325">
        <v>0</v>
      </c>
      <c r="BR325">
        <v>0</v>
      </c>
      <c r="BS325">
        <v>0</v>
      </c>
    </row>
    <row r="326" spans="1:71" x14ac:dyDescent="0.25">
      <c r="A326" t="s">
        <v>1349</v>
      </c>
      <c r="B326" t="s">
        <v>1350</v>
      </c>
      <c r="C326">
        <v>0</v>
      </c>
      <c r="D326">
        <v>39908.120000000003</v>
      </c>
      <c r="E326">
        <v>0</v>
      </c>
      <c r="F326">
        <v>0</v>
      </c>
      <c r="G326">
        <v>84961.67</v>
      </c>
      <c r="H326">
        <v>67841.5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1392.09</v>
      </c>
      <c r="W326">
        <v>0</v>
      </c>
      <c r="X326">
        <v>16813.38</v>
      </c>
      <c r="Y326">
        <v>0</v>
      </c>
      <c r="Z326">
        <v>1500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40035.379999999997</v>
      </c>
      <c r="BE326">
        <v>0</v>
      </c>
      <c r="BF326">
        <v>0</v>
      </c>
      <c r="BG326">
        <v>139624.32999999999</v>
      </c>
      <c r="BH326">
        <v>0</v>
      </c>
      <c r="BI326">
        <v>164819.54</v>
      </c>
      <c r="BJ326">
        <v>0</v>
      </c>
      <c r="BK326">
        <v>927.47</v>
      </c>
      <c r="BL326">
        <v>0</v>
      </c>
      <c r="BM326">
        <v>187901.25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</row>
    <row r="327" spans="1:71" x14ac:dyDescent="0.25">
      <c r="A327" t="s">
        <v>1351</v>
      </c>
      <c r="B327" t="s">
        <v>1352</v>
      </c>
      <c r="C327">
        <v>0</v>
      </c>
      <c r="D327">
        <v>3081.14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1332.37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934.5</v>
      </c>
      <c r="W327">
        <v>0</v>
      </c>
      <c r="X327">
        <v>15796.5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16897.3</v>
      </c>
      <c r="BE327">
        <v>0</v>
      </c>
      <c r="BF327">
        <v>0</v>
      </c>
      <c r="BG327">
        <v>18014.27</v>
      </c>
      <c r="BH327">
        <v>1608.81</v>
      </c>
      <c r="BI327">
        <v>51365.14</v>
      </c>
      <c r="BJ327">
        <v>0</v>
      </c>
      <c r="BK327">
        <v>0</v>
      </c>
      <c r="BL327">
        <v>0</v>
      </c>
      <c r="BM327">
        <v>6539.65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13535.19</v>
      </c>
    </row>
    <row r="328" spans="1:71" x14ac:dyDescent="0.25">
      <c r="A328" t="s">
        <v>1353</v>
      </c>
      <c r="B328" t="s">
        <v>1354</v>
      </c>
      <c r="C328">
        <v>0</v>
      </c>
      <c r="D328">
        <v>0</v>
      </c>
      <c r="E328">
        <v>0</v>
      </c>
      <c r="F328">
        <v>0</v>
      </c>
      <c r="G328">
        <v>10227.69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3454.4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10824.97</v>
      </c>
      <c r="BH328">
        <v>0</v>
      </c>
      <c r="BI328">
        <v>4017.32</v>
      </c>
      <c r="BJ328">
        <v>0</v>
      </c>
      <c r="BK328">
        <v>0</v>
      </c>
      <c r="BL328">
        <v>0</v>
      </c>
      <c r="BM328">
        <v>3156.43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</row>
    <row r="329" spans="1:71" x14ac:dyDescent="0.25">
      <c r="A329" t="s">
        <v>1355</v>
      </c>
      <c r="B329" t="s">
        <v>1356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264606.99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29576.13</v>
      </c>
      <c r="BE329">
        <v>0</v>
      </c>
      <c r="BF329">
        <v>0</v>
      </c>
      <c r="BG329">
        <v>65506.32</v>
      </c>
      <c r="BH329">
        <v>0</v>
      </c>
      <c r="BI329">
        <v>25697.32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</row>
    <row r="330" spans="1:71" x14ac:dyDescent="0.25">
      <c r="A330" t="s">
        <v>1357</v>
      </c>
      <c r="B330" t="s">
        <v>1358</v>
      </c>
      <c r="C330">
        <v>6767.23</v>
      </c>
      <c r="D330">
        <v>22647.59</v>
      </c>
      <c r="E330">
        <v>0</v>
      </c>
      <c r="F330">
        <v>728.31</v>
      </c>
      <c r="G330">
        <v>100253.46</v>
      </c>
      <c r="H330">
        <v>2411.98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1391.98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6677.7</v>
      </c>
      <c r="BE330">
        <v>0</v>
      </c>
      <c r="BF330">
        <v>0</v>
      </c>
      <c r="BG330">
        <v>16823.32</v>
      </c>
      <c r="BH330">
        <v>0</v>
      </c>
      <c r="BI330">
        <v>3.26</v>
      </c>
      <c r="BJ330">
        <v>0</v>
      </c>
      <c r="BK330">
        <v>0</v>
      </c>
      <c r="BL330">
        <v>0</v>
      </c>
      <c r="BM330">
        <v>82.9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</row>
    <row r="331" spans="1:71" x14ac:dyDescent="0.25">
      <c r="A331" t="s">
        <v>1359</v>
      </c>
      <c r="B331" t="s">
        <v>1360</v>
      </c>
      <c r="C331">
        <v>17049.650000000001</v>
      </c>
      <c r="D331">
        <v>49719.77</v>
      </c>
      <c r="E331">
        <v>0</v>
      </c>
      <c r="F331">
        <v>0</v>
      </c>
      <c r="G331">
        <v>118813.75</v>
      </c>
      <c r="H331">
        <v>7618.34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19607.04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22733.33</v>
      </c>
      <c r="BE331">
        <v>0</v>
      </c>
      <c r="BF331">
        <v>0</v>
      </c>
      <c r="BG331">
        <v>65.290000000000006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42807.54</v>
      </c>
    </row>
    <row r="332" spans="1:71" x14ac:dyDescent="0.25">
      <c r="A332" t="s">
        <v>1361</v>
      </c>
      <c r="B332" t="s">
        <v>1362</v>
      </c>
      <c r="C332">
        <v>0</v>
      </c>
      <c r="D332">
        <v>7087</v>
      </c>
      <c r="E332">
        <v>0</v>
      </c>
      <c r="F332">
        <v>0</v>
      </c>
      <c r="G332">
        <v>83767.22</v>
      </c>
      <c r="H332">
        <v>36474.559999999998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14610.68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23908.22</v>
      </c>
      <c r="Y332">
        <v>0</v>
      </c>
      <c r="Z332">
        <v>0</v>
      </c>
      <c r="AA332">
        <v>0</v>
      </c>
      <c r="AB332">
        <v>972.04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33106.35</v>
      </c>
      <c r="BE332">
        <v>0</v>
      </c>
      <c r="BF332">
        <v>0</v>
      </c>
      <c r="BG332">
        <v>7838.18</v>
      </c>
      <c r="BH332">
        <v>0</v>
      </c>
      <c r="BI332">
        <v>18457.66</v>
      </c>
      <c r="BJ332">
        <v>0</v>
      </c>
      <c r="BK332">
        <v>0</v>
      </c>
      <c r="BL332">
        <v>0</v>
      </c>
      <c r="BM332">
        <v>5049.88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</row>
    <row r="333" spans="1:71" x14ac:dyDescent="0.25">
      <c r="A333" t="s">
        <v>1363</v>
      </c>
      <c r="B333" t="s">
        <v>1364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147505.35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19853.04</v>
      </c>
      <c r="BE333">
        <v>0</v>
      </c>
      <c r="BF333">
        <v>0</v>
      </c>
      <c r="BG333">
        <v>0</v>
      </c>
      <c r="BH333">
        <v>0</v>
      </c>
      <c r="BI333">
        <v>35152.089999999997</v>
      </c>
      <c r="BJ333">
        <v>0</v>
      </c>
      <c r="BK333">
        <v>4040.59</v>
      </c>
      <c r="BL333">
        <v>0</v>
      </c>
      <c r="BM333">
        <v>3872.13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</row>
    <row r="334" spans="1:71" x14ac:dyDescent="0.25">
      <c r="A334" t="s">
        <v>1365</v>
      </c>
      <c r="B334" t="s">
        <v>1366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7279.11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</row>
    <row r="335" spans="1:71" x14ac:dyDescent="0.25">
      <c r="A335" t="s">
        <v>1367</v>
      </c>
      <c r="B335" t="s">
        <v>1368</v>
      </c>
      <c r="C335">
        <v>67614.179999999993</v>
      </c>
      <c r="D335">
        <v>470.16</v>
      </c>
      <c r="E335">
        <v>0</v>
      </c>
      <c r="F335">
        <v>0</v>
      </c>
      <c r="G335">
        <v>6662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40599.49</v>
      </c>
      <c r="R335">
        <v>137004</v>
      </c>
      <c r="S335">
        <v>0</v>
      </c>
      <c r="T335">
        <v>0</v>
      </c>
      <c r="U335">
        <v>0</v>
      </c>
      <c r="V335">
        <v>13309.26</v>
      </c>
      <c r="W335">
        <v>0</v>
      </c>
      <c r="X335">
        <v>44183.8</v>
      </c>
      <c r="Y335">
        <v>0</v>
      </c>
      <c r="Z335">
        <v>1500</v>
      </c>
      <c r="AA335">
        <v>0</v>
      </c>
      <c r="AB335">
        <v>50.19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4716.1099999999997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7930.97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</row>
    <row r="336" spans="1:71" x14ac:dyDescent="0.25">
      <c r="A336" t="s">
        <v>1369</v>
      </c>
      <c r="B336" t="s">
        <v>1370</v>
      </c>
      <c r="C336">
        <v>5671.21</v>
      </c>
      <c r="D336">
        <v>14003.62</v>
      </c>
      <c r="E336">
        <v>0</v>
      </c>
      <c r="F336">
        <v>0</v>
      </c>
      <c r="G336">
        <v>0</v>
      </c>
      <c r="H336">
        <v>15061.9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49416.44</v>
      </c>
      <c r="R336">
        <v>0</v>
      </c>
      <c r="S336">
        <v>0</v>
      </c>
      <c r="T336">
        <v>0</v>
      </c>
      <c r="U336">
        <v>0</v>
      </c>
      <c r="V336">
        <v>1041.17</v>
      </c>
      <c r="W336">
        <v>0</v>
      </c>
      <c r="X336">
        <v>0.06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21844.66</v>
      </c>
      <c r="BE336">
        <v>0</v>
      </c>
      <c r="BF336">
        <v>0</v>
      </c>
      <c r="BG336">
        <v>20932.349999999999</v>
      </c>
      <c r="BH336">
        <v>0</v>
      </c>
      <c r="BI336">
        <v>33142.410000000003</v>
      </c>
      <c r="BJ336">
        <v>0</v>
      </c>
      <c r="BK336">
        <v>0</v>
      </c>
      <c r="BL336">
        <v>0</v>
      </c>
      <c r="BM336">
        <v>0.03</v>
      </c>
      <c r="BN336">
        <v>0</v>
      </c>
      <c r="BO336">
        <v>56.88</v>
      </c>
      <c r="BP336">
        <v>0</v>
      </c>
      <c r="BQ336">
        <v>0</v>
      </c>
      <c r="BR336">
        <v>0</v>
      </c>
      <c r="BS336">
        <v>0</v>
      </c>
    </row>
    <row r="337" spans="1:71" x14ac:dyDescent="0.25">
      <c r="A337" t="s">
        <v>1371</v>
      </c>
      <c r="B337" t="s">
        <v>1372</v>
      </c>
      <c r="C337">
        <v>0</v>
      </c>
      <c r="D337">
        <v>0</v>
      </c>
      <c r="E337">
        <v>0</v>
      </c>
      <c r="F337">
        <v>0</v>
      </c>
      <c r="G337">
        <v>66819.61</v>
      </c>
      <c r="H337">
        <v>73360.53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14321.2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20349.310000000001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1463.6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</row>
    <row r="338" spans="1:71" x14ac:dyDescent="0.25">
      <c r="A338" t="s">
        <v>1373</v>
      </c>
      <c r="B338" t="s">
        <v>1374</v>
      </c>
      <c r="C338">
        <v>0</v>
      </c>
      <c r="D338">
        <v>0</v>
      </c>
      <c r="E338">
        <v>0</v>
      </c>
      <c r="F338">
        <v>0</v>
      </c>
      <c r="G338">
        <v>68454.91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55924.02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</row>
    <row r="339" spans="1:71" x14ac:dyDescent="0.25">
      <c r="A339" t="s">
        <v>1375</v>
      </c>
      <c r="B339" t="s">
        <v>1376</v>
      </c>
      <c r="C339">
        <v>0</v>
      </c>
      <c r="D339">
        <v>0</v>
      </c>
      <c r="E339">
        <v>0</v>
      </c>
      <c r="F339">
        <v>0</v>
      </c>
      <c r="G339">
        <v>14023.19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16282.54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18560</v>
      </c>
      <c r="BE339">
        <v>0</v>
      </c>
      <c r="BF339">
        <v>0</v>
      </c>
      <c r="BG339">
        <v>46998.85</v>
      </c>
      <c r="BH339">
        <v>0</v>
      </c>
      <c r="BI339">
        <v>55302.55</v>
      </c>
      <c r="BJ339">
        <v>0</v>
      </c>
      <c r="BK339">
        <v>0</v>
      </c>
      <c r="BL339">
        <v>0</v>
      </c>
      <c r="BM339">
        <v>5834.97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</row>
    <row r="340" spans="1:71" x14ac:dyDescent="0.25">
      <c r="A340" t="s">
        <v>1377</v>
      </c>
      <c r="B340" t="s">
        <v>1378</v>
      </c>
      <c r="C340">
        <v>3377.08</v>
      </c>
      <c r="D340">
        <v>571.49</v>
      </c>
      <c r="E340">
        <v>0</v>
      </c>
      <c r="F340">
        <v>0</v>
      </c>
      <c r="G340">
        <v>57057.04</v>
      </c>
      <c r="H340">
        <v>42514.43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82285.23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27476.73</v>
      </c>
      <c r="Y340">
        <v>0</v>
      </c>
      <c r="Z340">
        <v>0</v>
      </c>
      <c r="AA340">
        <v>0.01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17557.71</v>
      </c>
      <c r="BE340">
        <v>0</v>
      </c>
      <c r="BF340">
        <v>0</v>
      </c>
      <c r="BG340">
        <v>55441.05</v>
      </c>
      <c r="BH340">
        <v>0</v>
      </c>
      <c r="BI340">
        <v>13871.79</v>
      </c>
      <c r="BJ340">
        <v>0</v>
      </c>
      <c r="BK340">
        <v>1598.96</v>
      </c>
      <c r="BL340">
        <v>0</v>
      </c>
      <c r="BM340">
        <v>7015.46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</row>
    <row r="341" spans="1:71" x14ac:dyDescent="0.25">
      <c r="A341" t="s">
        <v>1379</v>
      </c>
      <c r="B341" t="s">
        <v>1380</v>
      </c>
      <c r="C341">
        <v>0</v>
      </c>
      <c r="D341">
        <v>0</v>
      </c>
      <c r="E341">
        <v>0</v>
      </c>
      <c r="F341">
        <v>0</v>
      </c>
      <c r="G341">
        <v>4637.5</v>
      </c>
      <c r="H341">
        <v>8113.1</v>
      </c>
      <c r="I341">
        <v>0</v>
      </c>
      <c r="J341">
        <v>0</v>
      </c>
      <c r="K341">
        <v>5.91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9766.49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39501.1</v>
      </c>
      <c r="Y341">
        <v>0</v>
      </c>
      <c r="Z341">
        <v>0</v>
      </c>
      <c r="AA341">
        <v>1.2</v>
      </c>
      <c r="AB341">
        <v>136.74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22164.35</v>
      </c>
      <c r="BE341">
        <v>0</v>
      </c>
      <c r="BF341">
        <v>0</v>
      </c>
      <c r="BG341">
        <v>2136.64</v>
      </c>
      <c r="BH341">
        <v>0</v>
      </c>
      <c r="BI341">
        <v>27302.69</v>
      </c>
      <c r="BJ341">
        <v>0</v>
      </c>
      <c r="BK341">
        <v>0</v>
      </c>
      <c r="BL341">
        <v>0</v>
      </c>
      <c r="BM341">
        <v>509.19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</row>
    <row r="342" spans="1:71" x14ac:dyDescent="0.25">
      <c r="A342" t="s">
        <v>1381</v>
      </c>
      <c r="B342" t="s">
        <v>1382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9408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38697.96</v>
      </c>
      <c r="BH342">
        <v>0</v>
      </c>
      <c r="BI342">
        <v>87335.1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306.08</v>
      </c>
    </row>
    <row r="343" spans="1:71" x14ac:dyDescent="0.25">
      <c r="A343" t="s">
        <v>1383</v>
      </c>
      <c r="B343" t="s">
        <v>1384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287944.71000000002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2915.73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28451.06</v>
      </c>
      <c r="BH343">
        <v>0</v>
      </c>
      <c r="BI343">
        <v>10830.4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60369.09</v>
      </c>
    </row>
    <row r="344" spans="1:71" x14ac:dyDescent="0.25">
      <c r="A344" t="s">
        <v>1385</v>
      </c>
      <c r="B344" t="s">
        <v>1386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513022.13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297019.44</v>
      </c>
      <c r="BH344">
        <v>0</v>
      </c>
      <c r="BI344">
        <v>0</v>
      </c>
      <c r="BJ344">
        <v>0</v>
      </c>
      <c r="BK344">
        <v>0</v>
      </c>
      <c r="BL344">
        <v>88963.57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570968.44999999995</v>
      </c>
    </row>
    <row r="345" spans="1:71" x14ac:dyDescent="0.25">
      <c r="A345" t="s">
        <v>1387</v>
      </c>
      <c r="B345" t="s">
        <v>1388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11237.97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11953.44</v>
      </c>
      <c r="AT345">
        <v>36810.519999999997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134809.70000000001</v>
      </c>
      <c r="BH345">
        <v>0</v>
      </c>
      <c r="BI345">
        <v>151918.19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378763.76</v>
      </c>
    </row>
    <row r="346" spans="1:71" x14ac:dyDescent="0.25">
      <c r="A346" t="s">
        <v>1389</v>
      </c>
      <c r="B346" t="s">
        <v>1390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67286.94</v>
      </c>
      <c r="BH346">
        <v>0</v>
      </c>
      <c r="BI346">
        <v>231923.98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</row>
    <row r="347" spans="1:71" x14ac:dyDescent="0.25">
      <c r="A347" t="s">
        <v>1391</v>
      </c>
      <c r="B347" t="s">
        <v>1392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178902.12</v>
      </c>
      <c r="Y347">
        <v>0</v>
      </c>
      <c r="Z347">
        <v>4704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176700.58</v>
      </c>
      <c r="BH347">
        <v>0</v>
      </c>
      <c r="BI347">
        <v>65415.74</v>
      </c>
      <c r="BJ347">
        <v>0</v>
      </c>
      <c r="BK347">
        <v>0</v>
      </c>
      <c r="BL347">
        <v>4530.1899999999996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1460681.86</v>
      </c>
    </row>
    <row r="348" spans="1:71" x14ac:dyDescent="0.25">
      <c r="A348" t="s">
        <v>1393</v>
      </c>
      <c r="B348" t="s">
        <v>1394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30715.02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14770.93</v>
      </c>
      <c r="BH348">
        <v>0</v>
      </c>
      <c r="BI348">
        <v>122853.3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673785.35</v>
      </c>
    </row>
    <row r="349" spans="1:71" x14ac:dyDescent="0.25">
      <c r="A349" t="s">
        <v>1395</v>
      </c>
      <c r="B349" t="s">
        <v>1396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136350.98000000001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131504.56</v>
      </c>
      <c r="BH349">
        <v>0</v>
      </c>
      <c r="BI349">
        <v>6465.19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</row>
    <row r="350" spans="1:71" x14ac:dyDescent="0.25">
      <c r="A350" t="s">
        <v>1397</v>
      </c>
      <c r="B350" t="s">
        <v>1398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50835.14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80261.19</v>
      </c>
      <c r="BH350">
        <v>0</v>
      </c>
      <c r="BI350">
        <v>21764.16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</row>
    <row r="381" spans="1:18" x14ac:dyDescent="0.25">
      <c r="A381" t="s">
        <v>1400</v>
      </c>
      <c r="B381" t="str">
        <f>TEXT('Scenario Assumptions'!C6,"0000")</f>
        <v>2718</v>
      </c>
      <c r="C381" t="s">
        <v>1399</v>
      </c>
      <c r="E381" t="s">
        <v>1401</v>
      </c>
      <c r="G381" t="s">
        <v>1402</v>
      </c>
      <c r="H381" s="53" t="s">
        <v>1833</v>
      </c>
      <c r="I381" s="53" t="s">
        <v>1834</v>
      </c>
      <c r="J381" s="53" t="s">
        <v>536</v>
      </c>
      <c r="K381" s="53" t="s">
        <v>537</v>
      </c>
      <c r="L381" s="53" t="s">
        <v>538</v>
      </c>
      <c r="M381" s="53" t="s">
        <v>539</v>
      </c>
      <c r="N381" s="53" t="s">
        <v>540</v>
      </c>
      <c r="O381" s="53" t="s">
        <v>541</v>
      </c>
      <c r="P381" s="53" t="s">
        <v>542</v>
      </c>
      <c r="Q381" s="53" t="s">
        <v>1835</v>
      </c>
      <c r="R381" s="53" t="s">
        <v>1836</v>
      </c>
    </row>
    <row r="382" spans="1:18" x14ac:dyDescent="0.25">
      <c r="C382">
        <v>17</v>
      </c>
      <c r="D382">
        <v>3117</v>
      </c>
      <c r="E382">
        <f>VLOOKUP($B$381,'Categorical Data'!$A$4:$BS$350,'Categorical Data'!C382,FALSE)</f>
        <v>0</v>
      </c>
      <c r="G382" s="53" t="s">
        <v>660</v>
      </c>
      <c r="H382">
        <f>SUMIFS(INDEX($D$401:$Q$500,0,MATCH(H$381,$D$400:$Q$400,0)),$A$401:$A$500,$G382)-SUMIFS(INDEX($AC$401:$AQ$650,0,MATCH(H$381,$AC$400:$AQ$400,0)),$Z$401:$Z$650,$G382)</f>
        <v>0</v>
      </c>
      <c r="I382">
        <f t="shared" ref="I382:R382" si="0">SUMIFS(INDEX($D$401:$Q$500,0,MATCH(I$381,$D$400:$Q$400,0)),$A$401:$A$500,$G382)-SUMIFS(INDEX($AC$401:$AQ$650,0,MATCH(I$381,$AC$400:$AQ$400,0)),$Z$401:$Z$650,$G382)</f>
        <v>0</v>
      </c>
      <c r="J382">
        <f t="shared" si="0"/>
        <v>0</v>
      </c>
      <c r="K382">
        <f t="shared" si="0"/>
        <v>1868.1300000000047</v>
      </c>
      <c r="L382">
        <f t="shared" si="0"/>
        <v>-1868.1299999999974</v>
      </c>
      <c r="M382">
        <f t="shared" si="0"/>
        <v>-35971.839999999997</v>
      </c>
      <c r="N382">
        <f t="shared" si="0"/>
        <v>0</v>
      </c>
      <c r="O382">
        <f t="shared" si="0"/>
        <v>0</v>
      </c>
      <c r="P382">
        <f t="shared" si="0"/>
        <v>0</v>
      </c>
      <c r="Q382">
        <f t="shared" si="0"/>
        <v>0</v>
      </c>
      <c r="R382">
        <f t="shared" si="0"/>
        <v>0</v>
      </c>
    </row>
    <row r="383" spans="1:18" x14ac:dyDescent="0.25">
      <c r="C383">
        <v>24</v>
      </c>
      <c r="D383">
        <v>3204</v>
      </c>
      <c r="E383">
        <f>VLOOKUP($B$381,'Categorical Data'!$A$4:$BS$350,'Categorical Data'!C383,FALSE)</f>
        <v>106385.51</v>
      </c>
      <c r="G383" s="53" t="s">
        <v>667</v>
      </c>
      <c r="H383">
        <f t="shared" ref="H383:R387" si="1">SUMIFS(INDEX($D$401:$Q$500,0,MATCH(H$381,$D$400:$Q$400,0)),$A$401:$A$500,$G383)-SUMIFS(INDEX($AC$401:$AQ$650,0,MATCH(H$381,$AC$400:$AQ$400,0)),$Z$401:$Z$650,$G383)</f>
        <v>13592.590000000026</v>
      </c>
      <c r="I383">
        <f t="shared" si="1"/>
        <v>626.71000000002095</v>
      </c>
      <c r="J383">
        <f t="shared" si="1"/>
        <v>10155.5</v>
      </c>
      <c r="K383">
        <f t="shared" si="1"/>
        <v>-106350.72999999998</v>
      </c>
      <c r="L383">
        <f t="shared" si="1"/>
        <v>-34.78000000002794</v>
      </c>
      <c r="M383">
        <f t="shared" si="1"/>
        <v>5069.320000000007</v>
      </c>
      <c r="N383">
        <f t="shared" si="1"/>
        <v>0</v>
      </c>
      <c r="O383">
        <f t="shared" si="1"/>
        <v>0</v>
      </c>
      <c r="P383">
        <f t="shared" si="1"/>
        <v>0</v>
      </c>
      <c r="Q383">
        <f t="shared" si="1"/>
        <v>0</v>
      </c>
      <c r="R383">
        <f t="shared" si="1"/>
        <v>0</v>
      </c>
    </row>
    <row r="384" spans="1:18" x14ac:dyDescent="0.25">
      <c r="C384">
        <v>27</v>
      </c>
      <c r="D384">
        <v>3216</v>
      </c>
      <c r="E384">
        <f>VLOOKUP($B$381,'Categorical Data'!$A$4:$BS$350,'Categorical Data'!C384,FALSE)</f>
        <v>31616</v>
      </c>
      <c r="G384" s="53" t="s">
        <v>670</v>
      </c>
      <c r="H384">
        <f t="shared" si="1"/>
        <v>0</v>
      </c>
      <c r="I384">
        <f t="shared" si="1"/>
        <v>31616</v>
      </c>
      <c r="J384">
        <f t="shared" si="1"/>
        <v>0</v>
      </c>
      <c r="K384">
        <f t="shared" si="1"/>
        <v>-6064.6900000000023</v>
      </c>
      <c r="L384">
        <f t="shared" si="1"/>
        <v>-15518.940000000002</v>
      </c>
      <c r="M384">
        <f t="shared" si="1"/>
        <v>-13701.720000000001</v>
      </c>
      <c r="N384">
        <f t="shared" si="1"/>
        <v>0</v>
      </c>
      <c r="O384">
        <f t="shared" si="1"/>
        <v>0</v>
      </c>
      <c r="P384">
        <f t="shared" si="1"/>
        <v>0</v>
      </c>
      <c r="Q384">
        <f t="shared" si="1"/>
        <v>0</v>
      </c>
      <c r="R384">
        <f t="shared" si="1"/>
        <v>0</v>
      </c>
    </row>
    <row r="385" spans="2:39" x14ac:dyDescent="0.25">
      <c r="C385">
        <v>59</v>
      </c>
      <c r="D385">
        <v>3373</v>
      </c>
      <c r="E385">
        <f>VLOOKUP($B$381,'Categorical Data'!$A$4:$BS$350,'Categorical Data'!C385,FALSE)</f>
        <v>59688.480000000003</v>
      </c>
      <c r="G385" s="53" t="s">
        <v>702</v>
      </c>
      <c r="H385">
        <f t="shared" si="1"/>
        <v>5791.34</v>
      </c>
      <c r="I385">
        <f t="shared" si="1"/>
        <v>9421</v>
      </c>
      <c r="J385">
        <f t="shared" si="1"/>
        <v>9519</v>
      </c>
      <c r="K385">
        <f t="shared" si="1"/>
        <v>-14194.54</v>
      </c>
      <c r="L385">
        <f t="shared" si="1"/>
        <v>910.3700000000008</v>
      </c>
      <c r="M385">
        <f t="shared" si="1"/>
        <v>-7874.16</v>
      </c>
      <c r="N385">
        <f t="shared" si="1"/>
        <v>-7874.16</v>
      </c>
      <c r="O385">
        <f t="shared" si="1"/>
        <v>-7874.16</v>
      </c>
      <c r="P385">
        <f t="shared" si="1"/>
        <v>-7874.16</v>
      </c>
      <c r="Q385">
        <f t="shared" si="1"/>
        <v>-7874.16</v>
      </c>
      <c r="R385">
        <f t="shared" si="1"/>
        <v>-7874.16</v>
      </c>
    </row>
    <row r="386" spans="2:39" x14ac:dyDescent="0.25">
      <c r="C386">
        <v>61</v>
      </c>
      <c r="D386">
        <v>3376</v>
      </c>
      <c r="E386">
        <f>VLOOKUP($B$381,'Categorical Data'!$A$4:$BS$350,'Categorical Data'!C386,FALSE)</f>
        <v>143.12</v>
      </c>
      <c r="G386" s="53" t="s">
        <v>704</v>
      </c>
      <c r="H386">
        <f t="shared" si="1"/>
        <v>593.79000000000087</v>
      </c>
      <c r="I386">
        <f t="shared" si="1"/>
        <v>-5634.5299999999988</v>
      </c>
      <c r="J386">
        <f t="shared" si="1"/>
        <v>143.11999999999898</v>
      </c>
      <c r="K386">
        <f t="shared" si="1"/>
        <v>-143.11999999999898</v>
      </c>
      <c r="L386">
        <f t="shared" si="1"/>
        <v>0.31000000000130967</v>
      </c>
      <c r="M386">
        <f t="shared" si="1"/>
        <v>0</v>
      </c>
      <c r="N386">
        <f t="shared" si="1"/>
        <v>0</v>
      </c>
      <c r="O386">
        <f t="shared" si="1"/>
        <v>0</v>
      </c>
      <c r="P386">
        <f t="shared" si="1"/>
        <v>0</v>
      </c>
      <c r="Q386">
        <f t="shared" si="1"/>
        <v>0</v>
      </c>
      <c r="R386">
        <f t="shared" si="1"/>
        <v>0</v>
      </c>
    </row>
    <row r="387" spans="2:39" x14ac:dyDescent="0.25">
      <c r="C387">
        <v>65</v>
      </c>
      <c r="D387">
        <v>3387</v>
      </c>
      <c r="E387">
        <f>VLOOKUP($B$381,'Categorical Data'!$A$4:$BS$350,'Categorical Data'!C387,FALSE)</f>
        <v>6768.01</v>
      </c>
      <c r="G387" s="53" t="s">
        <v>1842</v>
      </c>
      <c r="H387">
        <f t="shared" si="1"/>
        <v>0</v>
      </c>
      <c r="I387">
        <f t="shared" si="1"/>
        <v>7138.83</v>
      </c>
      <c r="J387">
        <f t="shared" si="1"/>
        <v>-370.82</v>
      </c>
      <c r="K387">
        <f t="shared" si="1"/>
        <v>-1974.99</v>
      </c>
      <c r="L387">
        <f t="shared" si="1"/>
        <v>8153.1900000000023</v>
      </c>
      <c r="M387">
        <f t="shared" si="1"/>
        <v>8207.0400000000081</v>
      </c>
      <c r="N387">
        <f t="shared" si="1"/>
        <v>0</v>
      </c>
      <c r="O387">
        <f t="shared" si="1"/>
        <v>0</v>
      </c>
      <c r="P387">
        <f t="shared" si="1"/>
        <v>0</v>
      </c>
      <c r="Q387">
        <f t="shared" si="1"/>
        <v>0</v>
      </c>
      <c r="R387">
        <f t="shared" si="1"/>
        <v>0</v>
      </c>
    </row>
    <row r="389" spans="2:39" x14ac:dyDescent="0.25">
      <c r="G389" t="s">
        <v>1405</v>
      </c>
      <c r="H389">
        <v>2016</v>
      </c>
      <c r="I389">
        <v>2017</v>
      </c>
      <c r="J389">
        <v>2018</v>
      </c>
      <c r="K389">
        <v>2019</v>
      </c>
      <c r="L389">
        <v>2020</v>
      </c>
      <c r="M389">
        <v>2021</v>
      </c>
      <c r="N389">
        <v>2022</v>
      </c>
      <c r="O389">
        <v>2023</v>
      </c>
    </row>
    <row r="390" spans="2:39" x14ac:dyDescent="0.25">
      <c r="G390" t="s">
        <v>660</v>
      </c>
      <c r="H390">
        <f>E382+K382</f>
        <v>1868.1300000000047</v>
      </c>
      <c r="I390">
        <f>H390+L382</f>
        <v>7.2759576141834259E-12</v>
      </c>
      <c r="J390">
        <f t="shared" ref="J390:O395" si="2">I390+M382</f>
        <v>-35971.839999999989</v>
      </c>
      <c r="K390">
        <f t="shared" si="2"/>
        <v>-35971.839999999989</v>
      </c>
      <c r="L390">
        <f t="shared" si="2"/>
        <v>-35971.839999999989</v>
      </c>
      <c r="M390">
        <f t="shared" si="2"/>
        <v>-35971.839999999989</v>
      </c>
      <c r="N390">
        <f t="shared" si="2"/>
        <v>-35971.839999999989</v>
      </c>
      <c r="O390">
        <f t="shared" si="2"/>
        <v>-35971.839999999989</v>
      </c>
    </row>
    <row r="391" spans="2:39" x14ac:dyDescent="0.25">
      <c r="G391" t="s">
        <v>667</v>
      </c>
      <c r="H391">
        <f t="shared" ref="H391:H395" si="3">E383+K383</f>
        <v>34.780000000013388</v>
      </c>
      <c r="I391">
        <f t="shared" ref="I391:I395" si="4">H391+L383</f>
        <v>-1.4551915228366852E-11</v>
      </c>
      <c r="J391">
        <f t="shared" si="2"/>
        <v>5069.3199999999924</v>
      </c>
      <c r="K391">
        <f t="shared" si="2"/>
        <v>5069.3199999999924</v>
      </c>
      <c r="L391">
        <f t="shared" si="2"/>
        <v>5069.3199999999924</v>
      </c>
      <c r="M391">
        <f t="shared" si="2"/>
        <v>5069.3199999999924</v>
      </c>
      <c r="N391">
        <f t="shared" si="2"/>
        <v>5069.3199999999924</v>
      </c>
      <c r="O391">
        <f t="shared" si="2"/>
        <v>5069.3199999999924</v>
      </c>
    </row>
    <row r="392" spans="2:39" x14ac:dyDescent="0.25">
      <c r="G392" t="s">
        <v>670</v>
      </c>
      <c r="H392">
        <f t="shared" si="3"/>
        <v>25551.309999999998</v>
      </c>
      <c r="I392">
        <f t="shared" si="4"/>
        <v>10032.369999999995</v>
      </c>
      <c r="J392">
        <f t="shared" si="2"/>
        <v>-3669.3500000000058</v>
      </c>
      <c r="K392">
        <f t="shared" si="2"/>
        <v>-3669.3500000000058</v>
      </c>
      <c r="L392">
        <f t="shared" si="2"/>
        <v>-3669.3500000000058</v>
      </c>
      <c r="M392">
        <f t="shared" si="2"/>
        <v>-3669.3500000000058</v>
      </c>
      <c r="N392">
        <f t="shared" si="2"/>
        <v>-3669.3500000000058</v>
      </c>
      <c r="O392">
        <f t="shared" si="2"/>
        <v>-3669.3500000000058</v>
      </c>
    </row>
    <row r="393" spans="2:39" x14ac:dyDescent="0.25">
      <c r="G393" t="s">
        <v>702</v>
      </c>
      <c r="H393">
        <f t="shared" si="3"/>
        <v>45493.94</v>
      </c>
      <c r="I393">
        <f t="shared" si="4"/>
        <v>46404.310000000005</v>
      </c>
      <c r="J393">
        <f t="shared" si="2"/>
        <v>38530.150000000009</v>
      </c>
      <c r="K393">
        <f t="shared" si="2"/>
        <v>30655.990000000009</v>
      </c>
      <c r="L393">
        <f t="shared" si="2"/>
        <v>22781.830000000009</v>
      </c>
      <c r="M393">
        <f t="shared" si="2"/>
        <v>14907.670000000009</v>
      </c>
      <c r="N393">
        <f t="shared" si="2"/>
        <v>7033.5100000000093</v>
      </c>
      <c r="O393">
        <f t="shared" si="2"/>
        <v>-840.64999999999054</v>
      </c>
    </row>
    <row r="394" spans="2:39" x14ac:dyDescent="0.25">
      <c r="G394" t="s">
        <v>704</v>
      </c>
      <c r="H394">
        <f t="shared" si="3"/>
        <v>1.0231815394945443E-12</v>
      </c>
      <c r="I394">
        <f t="shared" si="4"/>
        <v>0.31000000000233285</v>
      </c>
      <c r="J394">
        <f t="shared" si="2"/>
        <v>0.31000000000233285</v>
      </c>
      <c r="K394">
        <f t="shared" si="2"/>
        <v>0.31000000000233285</v>
      </c>
      <c r="L394">
        <f t="shared" si="2"/>
        <v>0.31000000000233285</v>
      </c>
      <c r="M394">
        <f t="shared" si="2"/>
        <v>0.31000000000233285</v>
      </c>
      <c r="N394">
        <f t="shared" si="2"/>
        <v>0.31000000000233285</v>
      </c>
      <c r="O394">
        <f t="shared" si="2"/>
        <v>0.31000000000233285</v>
      </c>
    </row>
    <row r="395" spans="2:39" x14ac:dyDescent="0.25">
      <c r="G395" t="s">
        <v>708</v>
      </c>
      <c r="H395">
        <f t="shared" si="3"/>
        <v>4793.0200000000004</v>
      </c>
      <c r="I395">
        <f t="shared" si="4"/>
        <v>12946.210000000003</v>
      </c>
      <c r="J395">
        <f t="shared" si="2"/>
        <v>21153.250000000011</v>
      </c>
      <c r="K395">
        <f t="shared" si="2"/>
        <v>21153.250000000011</v>
      </c>
      <c r="L395">
        <f t="shared" si="2"/>
        <v>21153.250000000011</v>
      </c>
      <c r="M395">
        <f t="shared" si="2"/>
        <v>21153.250000000011</v>
      </c>
      <c r="N395">
        <f t="shared" si="2"/>
        <v>21153.250000000011</v>
      </c>
      <c r="O395">
        <f>N395+R387</f>
        <v>21153.250000000011</v>
      </c>
    </row>
    <row r="400" spans="2:39" x14ac:dyDescent="0.25">
      <c r="B400" s="24" t="s">
        <v>1832</v>
      </c>
      <c r="C400" t="s">
        <v>1991</v>
      </c>
      <c r="D400" t="s">
        <v>1833</v>
      </c>
      <c r="E400" t="s">
        <v>1834</v>
      </c>
      <c r="F400" t="s">
        <v>536</v>
      </c>
      <c r="G400" t="s">
        <v>537</v>
      </c>
      <c r="H400" t="s">
        <v>538</v>
      </c>
      <c r="I400" t="s">
        <v>539</v>
      </c>
      <c r="J400" t="s">
        <v>540</v>
      </c>
      <c r="K400" t="s">
        <v>541</v>
      </c>
      <c r="L400" t="s">
        <v>542</v>
      </c>
      <c r="M400" t="s">
        <v>1835</v>
      </c>
      <c r="N400" t="s">
        <v>1836</v>
      </c>
      <c r="AA400" s="24" t="s">
        <v>1832</v>
      </c>
      <c r="AB400" t="s">
        <v>1952</v>
      </c>
      <c r="AC400" t="s">
        <v>1833</v>
      </c>
      <c r="AD400" t="s">
        <v>1834</v>
      </c>
      <c r="AE400" t="s">
        <v>536</v>
      </c>
      <c r="AF400" t="s">
        <v>537</v>
      </c>
      <c r="AG400" t="s">
        <v>538</v>
      </c>
      <c r="AH400" t="s">
        <v>539</v>
      </c>
      <c r="AI400" t="s">
        <v>540</v>
      </c>
      <c r="AJ400" t="s">
        <v>541</v>
      </c>
      <c r="AK400" t="s">
        <v>542</v>
      </c>
      <c r="AL400" t="s">
        <v>1835</v>
      </c>
      <c r="AM400" t="s">
        <v>1836</v>
      </c>
    </row>
    <row r="401" spans="1:39" x14ac:dyDescent="0.25">
      <c r="A401" s="449" t="str">
        <f>LEFT(C401,4)</f>
        <v>1113</v>
      </c>
      <c r="B401" t="s">
        <v>1857</v>
      </c>
      <c r="C401" t="s">
        <v>1953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Z401" s="449" t="str">
        <f>LEFT(AB401,4)</f>
        <v>1113</v>
      </c>
      <c r="AA401" t="s">
        <v>1857</v>
      </c>
      <c r="AB401" t="s">
        <v>1953</v>
      </c>
      <c r="AC401">
        <v>37792</v>
      </c>
      <c r="AD401">
        <v>43236</v>
      </c>
      <c r="AE401">
        <v>14017.25</v>
      </c>
      <c r="AF401">
        <v>11739.15</v>
      </c>
      <c r="AG401">
        <v>22239.01</v>
      </c>
      <c r="AH401">
        <v>14001.21</v>
      </c>
      <c r="AI401">
        <v>14017.23</v>
      </c>
      <c r="AJ401">
        <v>14031.83</v>
      </c>
      <c r="AK401">
        <v>14046.57</v>
      </c>
      <c r="AL401">
        <v>14061.46</v>
      </c>
      <c r="AM401">
        <v>14076.49</v>
      </c>
    </row>
    <row r="402" spans="1:39" x14ac:dyDescent="0.25">
      <c r="A402" s="449" t="str">
        <f t="shared" ref="A402:A465" si="5">LEFT(C402,4)</f>
        <v>1114</v>
      </c>
      <c r="B402" t="s">
        <v>1857</v>
      </c>
      <c r="C402" t="s">
        <v>1954</v>
      </c>
      <c r="D402">
        <v>0</v>
      </c>
      <c r="E402">
        <v>0</v>
      </c>
      <c r="F402">
        <v>0</v>
      </c>
      <c r="G402">
        <v>9264.39</v>
      </c>
      <c r="H402">
        <v>10736.49</v>
      </c>
      <c r="I402">
        <v>1856</v>
      </c>
      <c r="J402">
        <v>1944.77</v>
      </c>
      <c r="K402">
        <v>2010.2</v>
      </c>
      <c r="L402">
        <v>2084.9899999999998</v>
      </c>
      <c r="M402">
        <v>2152.35</v>
      </c>
      <c r="N402">
        <v>2228.5100000000002</v>
      </c>
      <c r="Z402" s="449" t="str">
        <f t="shared" ref="Z402:Z465" si="6">LEFT(AB402,4)</f>
        <v>1114</v>
      </c>
      <c r="AA402" t="s">
        <v>1857</v>
      </c>
      <c r="AB402" t="s">
        <v>1954</v>
      </c>
      <c r="AC402">
        <v>97154.6</v>
      </c>
      <c r="AD402">
        <v>116273.02</v>
      </c>
      <c r="AE402">
        <v>117128.19</v>
      </c>
      <c r="AF402">
        <v>133612.20000000001</v>
      </c>
      <c r="AG402">
        <v>113743.52</v>
      </c>
      <c r="AH402">
        <v>115155.52</v>
      </c>
      <c r="AI402">
        <v>115973.59</v>
      </c>
      <c r="AJ402">
        <v>116803.92</v>
      </c>
      <c r="AK402">
        <v>117646.72</v>
      </c>
      <c r="AL402">
        <v>118502.15</v>
      </c>
      <c r="AM402">
        <v>119370.42</v>
      </c>
    </row>
    <row r="403" spans="1:39" x14ac:dyDescent="0.25">
      <c r="A403" s="449" t="str">
        <f t="shared" si="5"/>
        <v>1116</v>
      </c>
      <c r="B403" t="s">
        <v>1857</v>
      </c>
      <c r="C403" t="s">
        <v>1955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Z403" s="449" t="str">
        <f t="shared" si="6"/>
        <v>1116</v>
      </c>
      <c r="AA403" t="s">
        <v>1857</v>
      </c>
      <c r="AB403" t="s">
        <v>1955</v>
      </c>
      <c r="AC403">
        <v>16876</v>
      </c>
      <c r="AD403">
        <v>17110</v>
      </c>
      <c r="AE403">
        <v>17100</v>
      </c>
      <c r="AF403">
        <v>15893</v>
      </c>
      <c r="AG403">
        <v>14905.33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</row>
    <row r="404" spans="1:39" x14ac:dyDescent="0.25">
      <c r="A404" s="449" t="str">
        <f t="shared" si="5"/>
        <v>1118</v>
      </c>
      <c r="B404" t="s">
        <v>1857</v>
      </c>
      <c r="C404" t="s">
        <v>1956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Z404" s="449" t="str">
        <f t="shared" si="6"/>
        <v>1118</v>
      </c>
      <c r="AA404" t="s">
        <v>1857</v>
      </c>
      <c r="AB404" t="s">
        <v>1956</v>
      </c>
      <c r="AC404">
        <v>43755</v>
      </c>
      <c r="AD404">
        <v>45099</v>
      </c>
      <c r="AE404">
        <v>45139</v>
      </c>
      <c r="AF404">
        <v>43720</v>
      </c>
      <c r="AG404">
        <v>43017</v>
      </c>
      <c r="AH404">
        <v>55496.61</v>
      </c>
      <c r="AI404">
        <v>55498.98</v>
      </c>
      <c r="AJ404">
        <v>55501.39</v>
      </c>
      <c r="AK404">
        <v>55503.83</v>
      </c>
      <c r="AL404">
        <v>55506.31</v>
      </c>
      <c r="AM404">
        <v>55508.83</v>
      </c>
    </row>
    <row r="405" spans="1:39" x14ac:dyDescent="0.25">
      <c r="A405" s="449" t="str">
        <f t="shared" si="5"/>
        <v>1119</v>
      </c>
      <c r="B405" t="s">
        <v>1857</v>
      </c>
      <c r="C405" t="s">
        <v>1957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Z405" s="449" t="str">
        <f t="shared" si="6"/>
        <v>1119</v>
      </c>
      <c r="AA405" t="s">
        <v>1857</v>
      </c>
      <c r="AB405" t="s">
        <v>1957</v>
      </c>
      <c r="AC405">
        <v>32750</v>
      </c>
      <c r="AD405">
        <v>171082.07</v>
      </c>
      <c r="AE405">
        <v>156247.73000000001</v>
      </c>
      <c r="AF405">
        <v>148105</v>
      </c>
      <c r="AG405">
        <v>170028.93</v>
      </c>
      <c r="AH405">
        <v>166281.96</v>
      </c>
      <c r="AI405">
        <v>166342.79</v>
      </c>
      <c r="AJ405">
        <v>166402.99</v>
      </c>
      <c r="AK405">
        <v>166464.01</v>
      </c>
      <c r="AL405">
        <v>166525.89000000001</v>
      </c>
      <c r="AM405">
        <v>166588.62</v>
      </c>
    </row>
    <row r="406" spans="1:39" x14ac:dyDescent="0.25">
      <c r="A406" s="449" t="str">
        <f t="shared" si="5"/>
        <v>3116</v>
      </c>
      <c r="B406" t="s">
        <v>1857</v>
      </c>
      <c r="C406" t="s">
        <v>1958</v>
      </c>
      <c r="D406">
        <v>0</v>
      </c>
      <c r="E406">
        <v>7200.03</v>
      </c>
      <c r="F406">
        <v>0</v>
      </c>
      <c r="G406">
        <v>0</v>
      </c>
      <c r="H406">
        <v>172195.4</v>
      </c>
      <c r="I406">
        <v>174100</v>
      </c>
      <c r="J406">
        <v>172001</v>
      </c>
      <c r="K406">
        <v>170176</v>
      </c>
      <c r="L406">
        <v>166884</v>
      </c>
      <c r="M406">
        <v>163508</v>
      </c>
      <c r="N406">
        <v>161729</v>
      </c>
      <c r="Z406" s="449" t="str">
        <f t="shared" si="6"/>
        <v>3116</v>
      </c>
      <c r="AA406" t="s">
        <v>1857</v>
      </c>
      <c r="AB406" t="s">
        <v>1958</v>
      </c>
      <c r="AC406">
        <v>0</v>
      </c>
      <c r="AD406">
        <v>61.2</v>
      </c>
      <c r="AE406">
        <v>370.82</v>
      </c>
      <c r="AF406">
        <v>1974.99</v>
      </c>
      <c r="AG406">
        <v>164042.21</v>
      </c>
      <c r="AH406">
        <v>165892.96</v>
      </c>
      <c r="AI406">
        <v>172001</v>
      </c>
      <c r="AJ406">
        <v>170176</v>
      </c>
      <c r="AK406">
        <v>166884</v>
      </c>
      <c r="AL406">
        <v>163508</v>
      </c>
      <c r="AM406">
        <v>161729</v>
      </c>
    </row>
    <row r="407" spans="1:39" x14ac:dyDescent="0.25">
      <c r="A407" s="449" t="str">
        <f t="shared" si="5"/>
        <v>3117</v>
      </c>
      <c r="B407" t="s">
        <v>1857</v>
      </c>
      <c r="C407" t="s">
        <v>1959</v>
      </c>
      <c r="D407">
        <v>87015</v>
      </c>
      <c r="E407">
        <v>91815</v>
      </c>
      <c r="F407">
        <v>89124</v>
      </c>
      <c r="G407">
        <v>103136</v>
      </c>
      <c r="H407">
        <v>62615</v>
      </c>
      <c r="I407">
        <v>79968</v>
      </c>
      <c r="J407">
        <v>80772</v>
      </c>
      <c r="K407">
        <v>81576</v>
      </c>
      <c r="L407">
        <v>82392</v>
      </c>
      <c r="M407">
        <v>83220</v>
      </c>
      <c r="N407">
        <v>84048</v>
      </c>
      <c r="Z407" s="449" t="str">
        <f t="shared" si="6"/>
        <v>3117</v>
      </c>
      <c r="AA407" t="s">
        <v>1857</v>
      </c>
      <c r="AB407" t="s">
        <v>1959</v>
      </c>
      <c r="AC407">
        <v>87015</v>
      </c>
      <c r="AD407">
        <v>91815</v>
      </c>
      <c r="AE407">
        <v>89124</v>
      </c>
      <c r="AF407">
        <v>101267.87</v>
      </c>
      <c r="AG407">
        <v>64483.13</v>
      </c>
      <c r="AH407">
        <v>115939.84</v>
      </c>
      <c r="AI407">
        <v>80772</v>
      </c>
      <c r="AJ407">
        <v>81576</v>
      </c>
      <c r="AK407">
        <v>82392</v>
      </c>
      <c r="AL407">
        <v>83220</v>
      </c>
      <c r="AM407">
        <v>84048</v>
      </c>
    </row>
    <row r="408" spans="1:39" x14ac:dyDescent="0.25">
      <c r="A408" s="449" t="str">
        <f t="shared" si="5"/>
        <v>3202</v>
      </c>
      <c r="B408" t="s">
        <v>1857</v>
      </c>
      <c r="C408" t="s">
        <v>1960</v>
      </c>
      <c r="D408">
        <v>3738</v>
      </c>
      <c r="E408">
        <v>2600</v>
      </c>
      <c r="F408">
        <v>6500</v>
      </c>
      <c r="G408">
        <v>2196.7399999999998</v>
      </c>
      <c r="H408">
        <v>4355.66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Z408" s="449" t="str">
        <f t="shared" si="6"/>
        <v>3202</v>
      </c>
      <c r="AA408" t="s">
        <v>1857</v>
      </c>
      <c r="AB408" t="s">
        <v>1960</v>
      </c>
      <c r="AC408">
        <v>3738</v>
      </c>
      <c r="AD408">
        <v>2600</v>
      </c>
      <c r="AE408">
        <v>6120.54</v>
      </c>
      <c r="AF408">
        <v>2331.61</v>
      </c>
      <c r="AG408">
        <v>4600.25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</row>
    <row r="409" spans="1:39" x14ac:dyDescent="0.25">
      <c r="A409" s="449" t="str">
        <f t="shared" si="5"/>
        <v>3204</v>
      </c>
      <c r="B409" t="s">
        <v>1857</v>
      </c>
      <c r="C409" t="s">
        <v>1961</v>
      </c>
      <c r="D409">
        <v>296984</v>
      </c>
      <c r="E409">
        <v>306361</v>
      </c>
      <c r="F409">
        <v>308349</v>
      </c>
      <c r="G409">
        <v>308349</v>
      </c>
      <c r="H409">
        <v>297427</v>
      </c>
      <c r="I409">
        <v>294460</v>
      </c>
      <c r="J409">
        <v>290866</v>
      </c>
      <c r="K409">
        <v>287746</v>
      </c>
      <c r="L409">
        <v>282061</v>
      </c>
      <c r="M409">
        <v>276231</v>
      </c>
      <c r="N409">
        <v>273185</v>
      </c>
      <c r="Z409" s="449" t="str">
        <f t="shared" si="6"/>
        <v>3204</v>
      </c>
      <c r="AA409" t="s">
        <v>1857</v>
      </c>
      <c r="AB409" t="s">
        <v>1961</v>
      </c>
      <c r="AC409">
        <v>283391.40999999997</v>
      </c>
      <c r="AD409">
        <v>305734.28999999998</v>
      </c>
      <c r="AE409">
        <v>298193.5</v>
      </c>
      <c r="AF409">
        <v>414699.73</v>
      </c>
      <c r="AG409">
        <v>297461.78000000003</v>
      </c>
      <c r="AH409">
        <v>289390.68</v>
      </c>
      <c r="AI409">
        <v>290866</v>
      </c>
      <c r="AJ409">
        <v>287746</v>
      </c>
      <c r="AK409">
        <v>282061</v>
      </c>
      <c r="AL409">
        <v>276231</v>
      </c>
      <c r="AM409">
        <v>273185</v>
      </c>
    </row>
    <row r="410" spans="1:39" x14ac:dyDescent="0.25">
      <c r="A410" s="449" t="str">
        <f t="shared" si="5"/>
        <v>3208</v>
      </c>
      <c r="B410" t="s">
        <v>1857</v>
      </c>
      <c r="C410" t="s">
        <v>1992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Z410" s="449" t="str">
        <f t="shared" si="6"/>
        <v>3214</v>
      </c>
      <c r="AA410" t="s">
        <v>1857</v>
      </c>
      <c r="AB410" t="s">
        <v>1962</v>
      </c>
      <c r="AC410">
        <v>224362</v>
      </c>
      <c r="AD410">
        <v>234294</v>
      </c>
      <c r="AE410">
        <v>234707</v>
      </c>
      <c r="AF410">
        <v>232364</v>
      </c>
      <c r="AG410">
        <v>225582</v>
      </c>
      <c r="AH410">
        <v>230311</v>
      </c>
      <c r="AI410">
        <v>250280</v>
      </c>
      <c r="AJ410">
        <v>248953</v>
      </c>
      <c r="AK410">
        <v>247443</v>
      </c>
      <c r="AL410">
        <v>246496</v>
      </c>
      <c r="AM410">
        <v>246316</v>
      </c>
    </row>
    <row r="411" spans="1:39" x14ac:dyDescent="0.25">
      <c r="A411" s="449" t="str">
        <f t="shared" si="5"/>
        <v>3216</v>
      </c>
      <c r="B411" t="s">
        <v>1857</v>
      </c>
      <c r="C411" t="s">
        <v>1963</v>
      </c>
      <c r="D411">
        <v>30472</v>
      </c>
      <c r="E411">
        <v>31616</v>
      </c>
      <c r="F411">
        <v>32064</v>
      </c>
      <c r="G411">
        <v>32064</v>
      </c>
      <c r="H411">
        <v>31003</v>
      </c>
      <c r="I411">
        <v>30819</v>
      </c>
      <c r="J411">
        <v>30505</v>
      </c>
      <c r="K411">
        <v>30233</v>
      </c>
      <c r="L411">
        <v>29690</v>
      </c>
      <c r="M411">
        <v>29125</v>
      </c>
      <c r="N411">
        <v>28885</v>
      </c>
      <c r="Z411" s="449" t="str">
        <f t="shared" si="6"/>
        <v>3216</v>
      </c>
      <c r="AA411" t="s">
        <v>1857</v>
      </c>
      <c r="AB411" t="s">
        <v>1963</v>
      </c>
      <c r="AC411">
        <v>30472</v>
      </c>
      <c r="AD411">
        <v>0</v>
      </c>
      <c r="AE411">
        <v>32064</v>
      </c>
      <c r="AF411">
        <v>38128.69</v>
      </c>
      <c r="AG411">
        <v>46521.94</v>
      </c>
      <c r="AH411">
        <v>44520.72</v>
      </c>
      <c r="AI411">
        <v>30505</v>
      </c>
      <c r="AJ411">
        <v>30233</v>
      </c>
      <c r="AK411">
        <v>29690</v>
      </c>
      <c r="AL411">
        <v>29125</v>
      </c>
      <c r="AM411">
        <v>28885</v>
      </c>
    </row>
    <row r="412" spans="1:39" x14ac:dyDescent="0.25">
      <c r="A412" s="449" t="str">
        <f t="shared" si="5"/>
        <v>3342</v>
      </c>
      <c r="B412" t="s">
        <v>1857</v>
      </c>
      <c r="C412" t="s">
        <v>1964</v>
      </c>
      <c r="D412">
        <v>0</v>
      </c>
      <c r="E412">
        <v>16544.29</v>
      </c>
      <c r="F412">
        <v>16626.759999999998</v>
      </c>
      <c r="G412">
        <v>16452</v>
      </c>
      <c r="H412">
        <v>16388</v>
      </c>
      <c r="I412">
        <v>15632</v>
      </c>
      <c r="J412">
        <v>15866</v>
      </c>
      <c r="K412">
        <v>16104</v>
      </c>
      <c r="L412">
        <v>16346</v>
      </c>
      <c r="M412">
        <v>16591</v>
      </c>
      <c r="N412">
        <v>16840</v>
      </c>
      <c r="Z412" s="449" t="str">
        <f t="shared" si="6"/>
        <v>3342</v>
      </c>
      <c r="AA412" t="s">
        <v>1857</v>
      </c>
      <c r="AB412" t="s">
        <v>1964</v>
      </c>
      <c r="AC412">
        <v>0</v>
      </c>
      <c r="AD412">
        <v>0</v>
      </c>
      <c r="AE412">
        <v>1341.9</v>
      </c>
      <c r="AF412">
        <v>14420.15</v>
      </c>
      <c r="AG412">
        <v>1186.6400000000001</v>
      </c>
      <c r="AH412">
        <v>1557.06</v>
      </c>
      <c r="AI412">
        <v>15866</v>
      </c>
      <c r="AJ412">
        <v>16104</v>
      </c>
      <c r="AK412">
        <v>16346</v>
      </c>
      <c r="AL412">
        <v>16591</v>
      </c>
      <c r="AM412">
        <v>16840</v>
      </c>
    </row>
    <row r="413" spans="1:39" x14ac:dyDescent="0.25">
      <c r="A413" s="449" t="str">
        <f t="shared" si="5"/>
        <v>3373</v>
      </c>
      <c r="B413" t="s">
        <v>1857</v>
      </c>
      <c r="C413" t="s">
        <v>1965</v>
      </c>
      <c r="D413">
        <v>9099</v>
      </c>
      <c r="E413">
        <v>9421</v>
      </c>
      <c r="F413">
        <v>9519</v>
      </c>
      <c r="G413">
        <v>9519</v>
      </c>
      <c r="H413">
        <v>9193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Z413" s="449" t="str">
        <f t="shared" si="6"/>
        <v>3373</v>
      </c>
      <c r="AA413" t="s">
        <v>1857</v>
      </c>
      <c r="AB413" t="s">
        <v>1965</v>
      </c>
      <c r="AC413">
        <v>3307.66</v>
      </c>
      <c r="AD413">
        <v>0</v>
      </c>
      <c r="AE413">
        <v>0</v>
      </c>
      <c r="AF413">
        <v>23713.54</v>
      </c>
      <c r="AG413">
        <v>8282.6299999999992</v>
      </c>
      <c r="AH413">
        <v>7874.16</v>
      </c>
      <c r="AI413">
        <v>7874.16</v>
      </c>
      <c r="AJ413">
        <v>7874.16</v>
      </c>
      <c r="AK413">
        <v>7874.16</v>
      </c>
      <c r="AL413">
        <v>7874.16</v>
      </c>
      <c r="AM413">
        <v>7874.16</v>
      </c>
    </row>
    <row r="414" spans="1:39" x14ac:dyDescent="0.25">
      <c r="A414" s="449" t="str">
        <f t="shared" si="5"/>
        <v>3376</v>
      </c>
      <c r="B414" t="s">
        <v>1857</v>
      </c>
      <c r="C414" t="s">
        <v>1966</v>
      </c>
      <c r="D414">
        <v>21408</v>
      </c>
      <c r="E414">
        <v>22166</v>
      </c>
      <c r="F414">
        <v>22396</v>
      </c>
      <c r="G414">
        <v>22396</v>
      </c>
      <c r="H414">
        <v>21630</v>
      </c>
      <c r="I414">
        <v>30581</v>
      </c>
      <c r="J414">
        <v>30237</v>
      </c>
      <c r="K414">
        <v>29939</v>
      </c>
      <c r="L414">
        <v>29375</v>
      </c>
      <c r="M414">
        <v>28792</v>
      </c>
      <c r="N414">
        <v>28507</v>
      </c>
      <c r="Z414" s="449" t="str">
        <f t="shared" si="6"/>
        <v>3376</v>
      </c>
      <c r="AA414" t="s">
        <v>1857</v>
      </c>
      <c r="AB414" t="s">
        <v>1966</v>
      </c>
      <c r="AC414">
        <v>20814.21</v>
      </c>
      <c r="AD414">
        <v>27800.53</v>
      </c>
      <c r="AE414">
        <v>22252.880000000001</v>
      </c>
      <c r="AF414">
        <v>22539.119999999999</v>
      </c>
      <c r="AG414">
        <v>21629.69</v>
      </c>
      <c r="AH414">
        <v>30581</v>
      </c>
      <c r="AI414">
        <v>30237</v>
      </c>
      <c r="AJ414">
        <v>29939</v>
      </c>
      <c r="AK414">
        <v>29375</v>
      </c>
      <c r="AL414">
        <v>28792</v>
      </c>
      <c r="AM414">
        <v>28507</v>
      </c>
    </row>
    <row r="415" spans="1:39" x14ac:dyDescent="0.25">
      <c r="A415" s="449" t="str">
        <f t="shared" si="5"/>
        <v>3378</v>
      </c>
      <c r="B415" t="s">
        <v>1857</v>
      </c>
      <c r="C415" t="s">
        <v>1993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Z415" s="449" t="str">
        <f t="shared" si="6"/>
        <v>4501</v>
      </c>
      <c r="AA415" t="s">
        <v>1857</v>
      </c>
      <c r="AB415" t="s">
        <v>1967</v>
      </c>
      <c r="AC415">
        <v>104596</v>
      </c>
      <c r="AD415">
        <v>104172</v>
      </c>
      <c r="AE415">
        <v>98971</v>
      </c>
      <c r="AF415">
        <v>103957.02</v>
      </c>
      <c r="AG415">
        <v>101375</v>
      </c>
      <c r="AH415">
        <v>96221.53</v>
      </c>
      <c r="AI415">
        <v>97162</v>
      </c>
      <c r="AJ415">
        <v>98619</v>
      </c>
      <c r="AK415">
        <v>100099</v>
      </c>
      <c r="AL415">
        <v>101600</v>
      </c>
      <c r="AM415">
        <v>103124</v>
      </c>
    </row>
    <row r="416" spans="1:39" x14ac:dyDescent="0.25">
      <c r="A416" s="449" t="str">
        <f t="shared" si="5"/>
        <v>4501</v>
      </c>
      <c r="B416" t="s">
        <v>1857</v>
      </c>
      <c r="C416" t="s">
        <v>1967</v>
      </c>
      <c r="D416">
        <v>104596</v>
      </c>
      <c r="E416">
        <v>104172</v>
      </c>
      <c r="F416">
        <v>98971</v>
      </c>
      <c r="G416">
        <v>103957</v>
      </c>
      <c r="H416">
        <v>101375</v>
      </c>
      <c r="I416">
        <v>95726</v>
      </c>
      <c r="J416">
        <v>97162</v>
      </c>
      <c r="K416">
        <v>98619</v>
      </c>
      <c r="L416">
        <v>100099</v>
      </c>
      <c r="M416">
        <v>101600</v>
      </c>
      <c r="N416">
        <v>103124</v>
      </c>
      <c r="Z416" s="449" t="str">
        <f t="shared" si="6"/>
        <v>4521</v>
      </c>
      <c r="AA416" t="s">
        <v>1857</v>
      </c>
      <c r="AB416" t="s">
        <v>1968</v>
      </c>
      <c r="AC416">
        <v>30343</v>
      </c>
      <c r="AD416">
        <v>27329</v>
      </c>
      <c r="AE416">
        <v>26086</v>
      </c>
      <c r="AF416">
        <v>24759</v>
      </c>
      <c r="AG416">
        <v>24617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</row>
    <row r="417" spans="1:39" x14ac:dyDescent="0.25">
      <c r="A417" s="449" t="str">
        <f>LEFT(C417,4)</f>
        <v>4521</v>
      </c>
      <c r="B417" t="s">
        <v>1857</v>
      </c>
      <c r="C417" t="s">
        <v>1968</v>
      </c>
      <c r="D417">
        <v>30343</v>
      </c>
      <c r="E417">
        <v>27329</v>
      </c>
      <c r="F417">
        <v>26086</v>
      </c>
      <c r="G417">
        <v>24759</v>
      </c>
      <c r="H417">
        <v>24617</v>
      </c>
      <c r="I417">
        <v>23298</v>
      </c>
      <c r="J417">
        <v>23647.47</v>
      </c>
      <c r="K417">
        <v>24002.18</v>
      </c>
      <c r="L417">
        <v>24362.21</v>
      </c>
      <c r="M417">
        <v>24727.65</v>
      </c>
      <c r="N417">
        <v>25098.560000000001</v>
      </c>
      <c r="Z417" s="449" t="str">
        <f t="shared" si="6"/>
        <v>4531</v>
      </c>
      <c r="AA417" t="s">
        <v>1857</v>
      </c>
      <c r="AB417" t="s">
        <v>1969</v>
      </c>
      <c r="AC417">
        <v>5304.94</v>
      </c>
      <c r="AD417">
        <v>5130.59</v>
      </c>
      <c r="AE417">
        <v>8548.23</v>
      </c>
      <c r="AF417">
        <v>5085.0200000000004</v>
      </c>
      <c r="AG417">
        <v>5953.36</v>
      </c>
      <c r="AH417">
        <v>5964.17</v>
      </c>
      <c r="AI417">
        <v>5075</v>
      </c>
      <c r="AJ417">
        <v>5151</v>
      </c>
      <c r="AK417">
        <v>5228</v>
      </c>
      <c r="AL417">
        <v>5307</v>
      </c>
      <c r="AM417">
        <v>5386</v>
      </c>
    </row>
    <row r="418" spans="1:39" x14ac:dyDescent="0.25">
      <c r="A418" s="449" t="str">
        <f t="shared" si="5"/>
        <v>4531</v>
      </c>
      <c r="B418" t="s">
        <v>1857</v>
      </c>
      <c r="C418" t="s">
        <v>1969</v>
      </c>
      <c r="D418">
        <v>5304.94</v>
      </c>
      <c r="E418">
        <v>5130.59</v>
      </c>
      <c r="F418">
        <v>8548.23</v>
      </c>
      <c r="G418">
        <v>5085.0200000000004</v>
      </c>
      <c r="H418">
        <v>5953.36</v>
      </c>
      <c r="I418">
        <v>5000</v>
      </c>
      <c r="J418">
        <v>5075</v>
      </c>
      <c r="K418">
        <v>5151</v>
      </c>
      <c r="L418">
        <v>5228</v>
      </c>
      <c r="M418">
        <v>5307</v>
      </c>
      <c r="N418">
        <v>5386</v>
      </c>
      <c r="Z418" s="449" t="str">
        <f t="shared" si="6"/>
        <v>4634</v>
      </c>
      <c r="AA418" t="s">
        <v>1857</v>
      </c>
      <c r="AB418" t="s">
        <v>1970</v>
      </c>
      <c r="AC418">
        <v>0</v>
      </c>
      <c r="AD418">
        <v>0</v>
      </c>
      <c r="AE418">
        <v>0</v>
      </c>
      <c r="AF418">
        <v>0</v>
      </c>
      <c r="AG418">
        <v>9876.24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</row>
    <row r="419" spans="1:39" x14ac:dyDescent="0.25">
      <c r="A419" s="449" t="str">
        <f t="shared" si="5"/>
        <v>4634</v>
      </c>
      <c r="B419" t="s">
        <v>1857</v>
      </c>
      <c r="C419" t="s">
        <v>1970</v>
      </c>
      <c r="D419">
        <v>0</v>
      </c>
      <c r="E419">
        <v>0</v>
      </c>
      <c r="F419">
        <v>0</v>
      </c>
      <c r="G419">
        <v>0</v>
      </c>
      <c r="H419">
        <v>9876.24</v>
      </c>
      <c r="I419">
        <v>25000</v>
      </c>
      <c r="J419">
        <v>25375</v>
      </c>
      <c r="K419">
        <v>25755.62</v>
      </c>
      <c r="L419">
        <v>26141.96</v>
      </c>
      <c r="M419">
        <v>26534.09</v>
      </c>
      <c r="N419">
        <v>26932.1</v>
      </c>
      <c r="Z419" s="449" t="str">
        <f t="shared" si="6"/>
        <v>4643</v>
      </c>
      <c r="AA419" t="s">
        <v>1857</v>
      </c>
      <c r="AB419" t="s">
        <v>1971</v>
      </c>
      <c r="AC419">
        <v>29514.81</v>
      </c>
      <c r="AD419">
        <v>27660.13</v>
      </c>
      <c r="AE419">
        <v>26655.45</v>
      </c>
      <c r="AF419">
        <v>27479.05</v>
      </c>
      <c r="AG419">
        <v>27936.400000000001</v>
      </c>
      <c r="AH419">
        <v>0</v>
      </c>
      <c r="AI419">
        <v>20872</v>
      </c>
      <c r="AJ419">
        <v>21185</v>
      </c>
      <c r="AK419">
        <v>21503</v>
      </c>
      <c r="AL419">
        <v>21826</v>
      </c>
      <c r="AM419">
        <v>22153</v>
      </c>
    </row>
    <row r="420" spans="1:39" x14ac:dyDescent="0.25">
      <c r="A420" s="449" t="str">
        <f t="shared" si="5"/>
        <v>4643</v>
      </c>
      <c r="B420" t="s">
        <v>1857</v>
      </c>
      <c r="C420" t="s">
        <v>1971</v>
      </c>
      <c r="D420">
        <v>29514.81</v>
      </c>
      <c r="E420">
        <v>27660.13</v>
      </c>
      <c r="F420">
        <v>26655.45</v>
      </c>
      <c r="G420">
        <v>27479.05</v>
      </c>
      <c r="H420">
        <v>27936.400000000001</v>
      </c>
      <c r="I420">
        <v>20563.939999999999</v>
      </c>
      <c r="J420">
        <v>20872</v>
      </c>
      <c r="K420">
        <v>21185</v>
      </c>
      <c r="L420">
        <v>21503</v>
      </c>
      <c r="M420">
        <v>21826</v>
      </c>
      <c r="N420">
        <v>22153</v>
      </c>
      <c r="Z420" s="449" t="str">
        <f t="shared" si="6"/>
        <v>Admi</v>
      </c>
      <c r="AA420" t="s">
        <v>1857</v>
      </c>
      <c r="AB420" t="s">
        <v>1972</v>
      </c>
      <c r="AC420">
        <v>287108</v>
      </c>
      <c r="AD420">
        <v>298593</v>
      </c>
      <c r="AE420">
        <v>301833.21000000002</v>
      </c>
      <c r="AF420">
        <v>301996.15999999997</v>
      </c>
      <c r="AG420">
        <v>205790.02</v>
      </c>
      <c r="AH420">
        <v>165785.4</v>
      </c>
      <c r="AI420">
        <v>169101.11</v>
      </c>
      <c r="AJ420">
        <v>172483.13</v>
      </c>
      <c r="AK420">
        <v>175932.79</v>
      </c>
      <c r="AL420">
        <v>179451.45</v>
      </c>
      <c r="AM420">
        <v>183040.48</v>
      </c>
    </row>
    <row r="421" spans="1:39" x14ac:dyDescent="0.25">
      <c r="A421" s="449" t="str">
        <f t="shared" si="5"/>
        <v xml:space="preserve">Not </v>
      </c>
      <c r="B421" t="s">
        <v>1857</v>
      </c>
      <c r="C421" t="s">
        <v>1994</v>
      </c>
      <c r="D421">
        <v>5096166.4800000004</v>
      </c>
      <c r="E421">
        <v>5414071.1500000004</v>
      </c>
      <c r="F421">
        <v>5344265.0599999996</v>
      </c>
      <c r="G421">
        <v>5484767.9100000001</v>
      </c>
      <c r="H421">
        <v>5387083.8300000001</v>
      </c>
      <c r="I421">
        <v>5951789.6399999997</v>
      </c>
      <c r="J421">
        <v>6044343.7000000002</v>
      </c>
      <c r="K421">
        <v>6051068.75</v>
      </c>
      <c r="L421">
        <v>6069665.7800000003</v>
      </c>
      <c r="M421">
        <v>6106084.2599999998</v>
      </c>
      <c r="N421">
        <v>6186092.6500000004</v>
      </c>
      <c r="Z421" s="449" t="str">
        <f t="shared" si="6"/>
        <v>Asso</v>
      </c>
      <c r="AA421" t="s">
        <v>1857</v>
      </c>
      <c r="AB421" t="s">
        <v>1973</v>
      </c>
      <c r="AC421">
        <v>236996.22</v>
      </c>
      <c r="AD421">
        <v>304839.71999999997</v>
      </c>
      <c r="AE421">
        <v>299058.76</v>
      </c>
      <c r="AF421">
        <v>309687.23</v>
      </c>
      <c r="AG421">
        <v>334190.65000000002</v>
      </c>
      <c r="AH421">
        <v>373614.6</v>
      </c>
      <c r="AI421">
        <v>381086.89</v>
      </c>
      <c r="AJ421">
        <v>388708.63</v>
      </c>
      <c r="AK421">
        <v>396482.8</v>
      </c>
      <c r="AL421">
        <v>404412.46</v>
      </c>
      <c r="AM421">
        <v>412500.71</v>
      </c>
    </row>
    <row r="422" spans="1:39" x14ac:dyDescent="0.25">
      <c r="A422" s="449" t="str">
        <f t="shared" si="5"/>
        <v xml:space="preserve">Not </v>
      </c>
      <c r="B422" t="s">
        <v>1858</v>
      </c>
      <c r="C422" t="s">
        <v>1994</v>
      </c>
      <c r="D422">
        <v>193007</v>
      </c>
      <c r="E422">
        <v>216895.45</v>
      </c>
      <c r="F422">
        <v>246918.79</v>
      </c>
      <c r="G422">
        <v>249293.21</v>
      </c>
      <c r="H422">
        <v>203077.44</v>
      </c>
      <c r="I422">
        <v>203077.44</v>
      </c>
      <c r="J422">
        <v>206123.6</v>
      </c>
      <c r="K422">
        <v>209215.46</v>
      </c>
      <c r="L422">
        <v>212353.69</v>
      </c>
      <c r="M422">
        <v>215538.99</v>
      </c>
      <c r="N422">
        <v>218772.08</v>
      </c>
      <c r="Z422" s="449" t="str">
        <f t="shared" si="6"/>
        <v>Craf</v>
      </c>
      <c r="AA422" t="s">
        <v>1857</v>
      </c>
      <c r="AB422" t="s">
        <v>1974</v>
      </c>
      <c r="AC422">
        <v>47563</v>
      </c>
      <c r="AD422">
        <v>49254</v>
      </c>
      <c r="AE422">
        <v>50647.38</v>
      </c>
      <c r="AF422">
        <v>51660.54</v>
      </c>
      <c r="AG422">
        <v>42421</v>
      </c>
      <c r="AH422">
        <v>42420.959999999999</v>
      </c>
      <c r="AI422">
        <v>43269.38</v>
      </c>
      <c r="AJ422">
        <v>44134.77</v>
      </c>
      <c r="AK422">
        <v>45017.46</v>
      </c>
      <c r="AL422">
        <v>45917.81</v>
      </c>
      <c r="AM422">
        <v>46836.17</v>
      </c>
    </row>
    <row r="423" spans="1:39" x14ac:dyDescent="0.25">
      <c r="A423" s="449" t="str">
        <f t="shared" si="5"/>
        <v xml:space="preserve">Not </v>
      </c>
      <c r="B423" t="s">
        <v>1859</v>
      </c>
      <c r="C423" t="s">
        <v>1994</v>
      </c>
      <c r="D423">
        <v>251188.03</v>
      </c>
      <c r="E423">
        <v>309380.67</v>
      </c>
      <c r="F423">
        <v>208701.36</v>
      </c>
      <c r="G423">
        <v>200836.6</v>
      </c>
      <c r="H423">
        <v>113441.56</v>
      </c>
      <c r="I423">
        <v>110628</v>
      </c>
      <c r="J423">
        <v>186173.5</v>
      </c>
      <c r="K423">
        <v>186327.27</v>
      </c>
      <c r="L423">
        <v>186483.35</v>
      </c>
      <c r="M423">
        <v>186641.77</v>
      </c>
      <c r="N423">
        <v>186802.57</v>
      </c>
      <c r="Z423" s="449" t="str">
        <f t="shared" si="6"/>
        <v>Exis</v>
      </c>
      <c r="AA423" t="s">
        <v>1857</v>
      </c>
      <c r="AB423" t="s">
        <v>1975</v>
      </c>
      <c r="AC423">
        <v>27216.36</v>
      </c>
      <c r="AD423">
        <v>34417.769999999997</v>
      </c>
      <c r="AE423">
        <v>34407.99</v>
      </c>
      <c r="AF423">
        <v>20696.78</v>
      </c>
      <c r="AG423">
        <v>8737.82</v>
      </c>
      <c r="AH423">
        <v>8681.0400000000009</v>
      </c>
      <c r="AI423">
        <v>8681.0400000000009</v>
      </c>
      <c r="AJ423">
        <v>8681.0400000000009</v>
      </c>
      <c r="AK423">
        <v>8681.0400000000009</v>
      </c>
      <c r="AL423">
        <v>8681.0400000000009</v>
      </c>
      <c r="AM423">
        <v>8681.0400000000009</v>
      </c>
    </row>
    <row r="424" spans="1:39" x14ac:dyDescent="0.25">
      <c r="A424" s="449" t="str">
        <f t="shared" si="5"/>
        <v xml:space="preserve">Not </v>
      </c>
      <c r="B424" t="s">
        <v>1860</v>
      </c>
      <c r="C424" t="s">
        <v>1994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Z424" s="449" t="str">
        <f t="shared" si="6"/>
        <v>Extr</v>
      </c>
      <c r="AA424" t="s">
        <v>1857</v>
      </c>
      <c r="AB424" t="s">
        <v>1976</v>
      </c>
      <c r="AC424">
        <v>140655.12</v>
      </c>
      <c r="AD424">
        <v>144188.79</v>
      </c>
      <c r="AE424">
        <v>148432</v>
      </c>
      <c r="AF424">
        <v>144579.99</v>
      </c>
      <c r="AG424">
        <v>120167.64</v>
      </c>
      <c r="AH424">
        <v>98211.12</v>
      </c>
      <c r="AI424">
        <v>100175.34</v>
      </c>
      <c r="AJ424">
        <v>102178.85</v>
      </c>
      <c r="AK424">
        <v>104222.43</v>
      </c>
      <c r="AL424">
        <v>106306.87</v>
      </c>
      <c r="AM424">
        <v>108433.01</v>
      </c>
    </row>
    <row r="425" spans="1:39" x14ac:dyDescent="0.25">
      <c r="A425" s="449" t="str">
        <f t="shared" si="5"/>
        <v xml:space="preserve">Not </v>
      </c>
      <c r="B425" t="s">
        <v>1861</v>
      </c>
      <c r="C425" t="s">
        <v>1994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9995099.5</v>
      </c>
      <c r="J425">
        <v>10145025.99</v>
      </c>
      <c r="K425">
        <v>10297201.380000001</v>
      </c>
      <c r="L425">
        <v>10451659.4</v>
      </c>
      <c r="M425">
        <v>10608434.289999999</v>
      </c>
      <c r="N425">
        <v>10767560.810000001</v>
      </c>
      <c r="Z425" s="449" t="str">
        <f t="shared" si="6"/>
        <v>Grou</v>
      </c>
      <c r="AA425" t="s">
        <v>1857</v>
      </c>
      <c r="AB425" t="s">
        <v>1977</v>
      </c>
      <c r="AC425">
        <v>4015</v>
      </c>
      <c r="AD425">
        <v>4162.91</v>
      </c>
      <c r="AE425">
        <v>4259.8</v>
      </c>
      <c r="AF425">
        <v>4706.9799999999996</v>
      </c>
      <c r="AG425">
        <v>5038.97</v>
      </c>
      <c r="AH425">
        <v>4220.6400000000003</v>
      </c>
      <c r="AI425">
        <v>4262.8500000000004</v>
      </c>
      <c r="AJ425">
        <v>4305.47</v>
      </c>
      <c r="AK425">
        <v>4348.53</v>
      </c>
      <c r="AL425">
        <v>4392.01</v>
      </c>
      <c r="AM425">
        <v>4435.9399999999996</v>
      </c>
    </row>
    <row r="426" spans="1:39" x14ac:dyDescent="0.25">
      <c r="A426" s="449" t="str">
        <f t="shared" si="5"/>
        <v xml:space="preserve">Not </v>
      </c>
      <c r="B426" t="s">
        <v>1862</v>
      </c>
      <c r="C426" t="s">
        <v>1994</v>
      </c>
      <c r="D426">
        <v>534169.92000000004</v>
      </c>
      <c r="E426">
        <v>520584.02</v>
      </c>
      <c r="F426">
        <v>595217.01</v>
      </c>
      <c r="G426">
        <v>738052.62</v>
      </c>
      <c r="H426">
        <v>529668.42000000004</v>
      </c>
      <c r="I426">
        <v>491044.17</v>
      </c>
      <c r="J426">
        <v>498409.83</v>
      </c>
      <c r="K426">
        <v>505885.98</v>
      </c>
      <c r="L426">
        <v>513474.27</v>
      </c>
      <c r="M426">
        <v>521176.38</v>
      </c>
      <c r="N426">
        <v>528994.03</v>
      </c>
      <c r="Z426" s="449" t="str">
        <f t="shared" si="6"/>
        <v>Heal</v>
      </c>
      <c r="AA426" t="s">
        <v>1857</v>
      </c>
      <c r="AB426" t="s">
        <v>1978</v>
      </c>
      <c r="AC426">
        <v>238606.22</v>
      </c>
      <c r="AD426">
        <v>262506.2</v>
      </c>
      <c r="AE426">
        <v>272590.94</v>
      </c>
      <c r="AF426">
        <v>320742.07</v>
      </c>
      <c r="AG426">
        <v>292367.27</v>
      </c>
      <c r="AH426">
        <v>285097.08</v>
      </c>
      <c r="AI426">
        <v>313606.78999999998</v>
      </c>
      <c r="AJ426">
        <v>323014.99</v>
      </c>
      <c r="AK426">
        <v>332705.44</v>
      </c>
      <c r="AL426">
        <v>342686.6</v>
      </c>
      <c r="AM426">
        <v>352967.2</v>
      </c>
    </row>
    <row r="427" spans="1:39" x14ac:dyDescent="0.25">
      <c r="A427" s="449" t="str">
        <f t="shared" si="5"/>
        <v xml:space="preserve">Not </v>
      </c>
      <c r="B427" t="s">
        <v>1863</v>
      </c>
      <c r="C427" t="s">
        <v>1994</v>
      </c>
      <c r="D427">
        <v>0</v>
      </c>
      <c r="E427">
        <v>0</v>
      </c>
      <c r="F427">
        <v>0</v>
      </c>
      <c r="G427">
        <v>8989.7800000000007</v>
      </c>
      <c r="H427">
        <v>7.15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Z427" s="449" t="str">
        <f t="shared" si="6"/>
        <v>IPER</v>
      </c>
      <c r="AA427" t="s">
        <v>1857</v>
      </c>
      <c r="AB427" t="s">
        <v>1979</v>
      </c>
      <c r="AC427">
        <v>305989.36</v>
      </c>
      <c r="AD427">
        <v>295028.46000000002</v>
      </c>
      <c r="AE427">
        <v>312335.82</v>
      </c>
      <c r="AF427">
        <v>313445.65000000002</v>
      </c>
      <c r="AG427">
        <v>255295.19</v>
      </c>
      <c r="AH427">
        <v>258573.96</v>
      </c>
      <c r="AI427">
        <v>263716.62</v>
      </c>
      <c r="AJ427">
        <v>268063.59999999998</v>
      </c>
      <c r="AK427">
        <v>272430.32</v>
      </c>
      <c r="AL427">
        <v>293309.71999999997</v>
      </c>
      <c r="AM427">
        <v>298122.37</v>
      </c>
    </row>
    <row r="428" spans="1:39" x14ac:dyDescent="0.25">
      <c r="A428" s="449" t="str">
        <f t="shared" si="5"/>
        <v xml:space="preserve">Not </v>
      </c>
      <c r="B428" t="s">
        <v>1864</v>
      </c>
      <c r="C428" t="s">
        <v>1994</v>
      </c>
      <c r="D428">
        <v>74848.509999999995</v>
      </c>
      <c r="E428">
        <v>75753.94</v>
      </c>
      <c r="F428">
        <v>81279.240000000005</v>
      </c>
      <c r="G428">
        <v>85281.3</v>
      </c>
      <c r="H428">
        <v>92031.87</v>
      </c>
      <c r="I428">
        <v>92123</v>
      </c>
      <c r="J428">
        <v>94848.02</v>
      </c>
      <c r="K428">
        <v>97654.62</v>
      </c>
      <c r="L428">
        <v>100544.79</v>
      </c>
      <c r="M428">
        <v>103522.56</v>
      </c>
      <c r="N428">
        <v>106586.91</v>
      </c>
      <c r="Z428" s="449" t="str">
        <f t="shared" si="6"/>
        <v xml:space="preserve">Not </v>
      </c>
      <c r="AA428" t="s">
        <v>1857</v>
      </c>
      <c r="AB428" t="s">
        <v>1980</v>
      </c>
      <c r="AC428">
        <v>1202744.8</v>
      </c>
      <c r="AD428">
        <v>1505086.19</v>
      </c>
      <c r="AE428">
        <v>1107783.18</v>
      </c>
      <c r="AF428">
        <v>1214215.57</v>
      </c>
      <c r="AG428">
        <v>1200568.6100000001</v>
      </c>
      <c r="AH428">
        <v>1220530.5</v>
      </c>
      <c r="AI428">
        <v>1235939.1000000001</v>
      </c>
      <c r="AJ428">
        <v>1250719.79</v>
      </c>
      <c r="AK428">
        <v>1265684.6100000001</v>
      </c>
      <c r="AL428">
        <v>1280835.95</v>
      </c>
      <c r="AM428">
        <v>1296176.21</v>
      </c>
    </row>
    <row r="429" spans="1:39" x14ac:dyDescent="0.25">
      <c r="A429" s="449" t="str">
        <f t="shared" si="5"/>
        <v xml:space="preserve">Not </v>
      </c>
      <c r="B429" t="s">
        <v>1865</v>
      </c>
      <c r="C429" t="s">
        <v>1994</v>
      </c>
      <c r="D429">
        <v>308720.5</v>
      </c>
      <c r="E429">
        <v>223587.6</v>
      </c>
      <c r="F429">
        <v>308358.64</v>
      </c>
      <c r="G429">
        <v>294082.05</v>
      </c>
      <c r="H429">
        <v>289538.27</v>
      </c>
      <c r="I429">
        <v>289396.32</v>
      </c>
      <c r="J429">
        <v>896301.26</v>
      </c>
      <c r="K429">
        <v>913240.32</v>
      </c>
      <c r="L429">
        <v>919638.47</v>
      </c>
      <c r="M429">
        <v>940569.71</v>
      </c>
      <c r="N429">
        <v>951925.03</v>
      </c>
      <c r="Z429" s="449" t="str">
        <f t="shared" si="6"/>
        <v>Offi</v>
      </c>
      <c r="AA429" t="s">
        <v>1857</v>
      </c>
      <c r="AB429" t="s">
        <v>1981</v>
      </c>
      <c r="AC429">
        <v>89350.9</v>
      </c>
      <c r="AD429">
        <v>92586.86</v>
      </c>
      <c r="AE429">
        <v>95436.07</v>
      </c>
      <c r="AF429">
        <v>119660.63</v>
      </c>
      <c r="AG429">
        <v>121668.62</v>
      </c>
      <c r="AH429">
        <v>120570</v>
      </c>
      <c r="AI429">
        <v>122981.4</v>
      </c>
      <c r="AJ429">
        <v>125441.03</v>
      </c>
      <c r="AK429">
        <v>127949.85</v>
      </c>
      <c r="AL429">
        <v>130508.85</v>
      </c>
      <c r="AM429">
        <v>133119.01999999999</v>
      </c>
    </row>
    <row r="430" spans="1:39" x14ac:dyDescent="0.25">
      <c r="A430" s="449" t="str">
        <f t="shared" si="5"/>
        <v xml:space="preserve">Not </v>
      </c>
      <c r="B430" t="s">
        <v>1866</v>
      </c>
      <c r="C430" t="s">
        <v>1994</v>
      </c>
      <c r="D430">
        <v>347283.29</v>
      </c>
      <c r="E430">
        <v>342351.9</v>
      </c>
      <c r="F430">
        <v>350466.54</v>
      </c>
      <c r="G430">
        <v>347415.32</v>
      </c>
      <c r="H430">
        <v>341622.98</v>
      </c>
      <c r="I430">
        <v>340744.98</v>
      </c>
      <c r="J430">
        <v>345856.15</v>
      </c>
      <c r="K430">
        <v>351044</v>
      </c>
      <c r="L430">
        <v>356309.66</v>
      </c>
      <c r="M430">
        <v>361654.3</v>
      </c>
      <c r="N430">
        <v>367079.12</v>
      </c>
      <c r="Z430" s="449" t="str">
        <f t="shared" si="6"/>
        <v>Oper</v>
      </c>
      <c r="AA430" t="s">
        <v>1857</v>
      </c>
      <c r="AB430" t="s">
        <v>1982</v>
      </c>
      <c r="AC430">
        <v>194760.81</v>
      </c>
      <c r="AD430">
        <v>213221.3</v>
      </c>
      <c r="AE430">
        <v>222911.12</v>
      </c>
      <c r="AF430">
        <v>200200.95</v>
      </c>
      <c r="AG430">
        <v>167526.85999999999</v>
      </c>
      <c r="AH430">
        <v>167040.95999999999</v>
      </c>
      <c r="AI430">
        <v>170381.78</v>
      </c>
      <c r="AJ430">
        <v>173789.41</v>
      </c>
      <c r="AK430">
        <v>177265.2</v>
      </c>
      <c r="AL430">
        <v>180810.51</v>
      </c>
      <c r="AM430">
        <v>184426.72</v>
      </c>
    </row>
    <row r="431" spans="1:39" x14ac:dyDescent="0.25">
      <c r="A431" s="449" t="str">
        <f t="shared" si="5"/>
        <v xml:space="preserve">Not </v>
      </c>
      <c r="B431" t="s">
        <v>1867</v>
      </c>
      <c r="C431" t="s">
        <v>1994</v>
      </c>
      <c r="D431">
        <v>0</v>
      </c>
      <c r="E431">
        <v>0</v>
      </c>
      <c r="F431">
        <v>0</v>
      </c>
      <c r="G431">
        <v>2716.58</v>
      </c>
      <c r="H431">
        <v>32568.7</v>
      </c>
      <c r="I431">
        <v>32568.7</v>
      </c>
      <c r="J431">
        <v>33057.230000000003</v>
      </c>
      <c r="K431">
        <v>33553.089999999997</v>
      </c>
      <c r="L431">
        <v>34056.39</v>
      </c>
      <c r="M431">
        <v>34567.230000000003</v>
      </c>
      <c r="N431">
        <v>35085.74</v>
      </c>
      <c r="Z431" s="449" t="str">
        <f t="shared" si="6"/>
        <v>Othe</v>
      </c>
      <c r="AA431" t="s">
        <v>1857</v>
      </c>
      <c r="AB431" t="s">
        <v>1983</v>
      </c>
      <c r="AC431">
        <v>17624.310000000001</v>
      </c>
      <c r="AD431">
        <v>23741</v>
      </c>
      <c r="AE431">
        <v>24714</v>
      </c>
      <c r="AF431">
        <v>33845.9</v>
      </c>
      <c r="AG431">
        <v>33574.519999999997</v>
      </c>
      <c r="AH431">
        <v>35438.879999999997</v>
      </c>
      <c r="AI431">
        <v>36147.660000000003</v>
      </c>
      <c r="AJ431">
        <v>36870.61</v>
      </c>
      <c r="AK431">
        <v>37608.019999999997</v>
      </c>
      <c r="AL431">
        <v>38360.18</v>
      </c>
      <c r="AM431">
        <v>39127.39</v>
      </c>
    </row>
    <row r="432" spans="1:39" x14ac:dyDescent="0.25">
      <c r="A432" s="449" t="str">
        <f t="shared" si="5"/>
        <v xml:space="preserve">Not </v>
      </c>
      <c r="B432" t="s">
        <v>1868</v>
      </c>
      <c r="C432" t="s">
        <v>1994</v>
      </c>
      <c r="D432">
        <v>0</v>
      </c>
      <c r="E432">
        <v>0</v>
      </c>
      <c r="F432">
        <v>0</v>
      </c>
      <c r="G432">
        <v>206946.2</v>
      </c>
      <c r="H432">
        <v>2300.5</v>
      </c>
      <c r="I432">
        <v>2300.5</v>
      </c>
      <c r="J432">
        <v>2335.0100000000002</v>
      </c>
      <c r="K432">
        <v>2370.0300000000002</v>
      </c>
      <c r="L432">
        <v>2405.58</v>
      </c>
      <c r="M432">
        <v>2441.67</v>
      </c>
      <c r="N432">
        <v>2478.29</v>
      </c>
      <c r="Z432" s="449" t="str">
        <f t="shared" si="6"/>
        <v>Soci</v>
      </c>
      <c r="AA432" t="s">
        <v>1857</v>
      </c>
      <c r="AB432" t="s">
        <v>1984</v>
      </c>
      <c r="AC432">
        <v>240267.02</v>
      </c>
      <c r="AD432">
        <v>244201.49</v>
      </c>
      <c r="AE432">
        <v>242200.03</v>
      </c>
      <c r="AF432">
        <v>237964.23</v>
      </c>
      <c r="AG432">
        <v>221004.43</v>
      </c>
      <c r="AH432">
        <v>219425.04</v>
      </c>
      <c r="AI432">
        <v>222324.52</v>
      </c>
      <c r="AJ432">
        <v>225989.21</v>
      </c>
      <c r="AK432">
        <v>229670.54</v>
      </c>
      <c r="AL432">
        <v>233425.5</v>
      </c>
      <c r="AM432">
        <v>237255.56</v>
      </c>
    </row>
    <row r="433" spans="1:39" x14ac:dyDescent="0.25">
      <c r="A433" s="449" t="str">
        <f t="shared" si="5"/>
        <v/>
      </c>
      <c r="Z433" s="449" t="str">
        <f t="shared" si="6"/>
        <v>Subs</v>
      </c>
      <c r="AA433" t="s">
        <v>1857</v>
      </c>
      <c r="AB433" t="s">
        <v>1985</v>
      </c>
      <c r="AC433">
        <v>31443.81</v>
      </c>
      <c r="AD433">
        <v>41036.22</v>
      </c>
      <c r="AE433">
        <v>37457.14</v>
      </c>
      <c r="AF433">
        <v>31626.42</v>
      </c>
      <c r="AG433">
        <v>37441.43</v>
      </c>
      <c r="AH433">
        <v>38190.269999999997</v>
      </c>
      <c r="AI433">
        <v>38954.080000000002</v>
      </c>
      <c r="AJ433">
        <v>39733.160000000003</v>
      </c>
      <c r="AK433">
        <v>40527.82</v>
      </c>
      <c r="AL433">
        <v>41338.379999999997</v>
      </c>
      <c r="AM433">
        <v>42165.14</v>
      </c>
    </row>
    <row r="434" spans="1:39" x14ac:dyDescent="0.25">
      <c r="A434" s="449" t="str">
        <f t="shared" si="5"/>
        <v/>
      </c>
      <c r="Z434" s="449" t="str">
        <f t="shared" si="6"/>
        <v>Teac</v>
      </c>
      <c r="AA434" t="s">
        <v>1857</v>
      </c>
      <c r="AB434" t="s">
        <v>1986</v>
      </c>
      <c r="AC434">
        <v>1846309.81</v>
      </c>
      <c r="AD434">
        <v>1844394.98</v>
      </c>
      <c r="AE434">
        <v>1827324.76</v>
      </c>
      <c r="AF434">
        <v>1795242.26</v>
      </c>
      <c r="AG434">
        <v>1617237.92</v>
      </c>
      <c r="AH434">
        <v>1648083.36</v>
      </c>
      <c r="AI434">
        <v>1676941.98</v>
      </c>
      <c r="AJ434">
        <v>1700718.4</v>
      </c>
      <c r="AK434">
        <v>1724262.93</v>
      </c>
      <c r="AL434">
        <v>1748278.35</v>
      </c>
      <c r="AM434">
        <v>1772774.07</v>
      </c>
    </row>
    <row r="435" spans="1:39" x14ac:dyDescent="0.25">
      <c r="A435" s="449" t="str">
        <f t="shared" si="5"/>
        <v/>
      </c>
      <c r="Z435" s="449" t="str">
        <f t="shared" si="6"/>
        <v>Tech</v>
      </c>
      <c r="AA435" t="s">
        <v>1857</v>
      </c>
      <c r="AB435" t="s">
        <v>1987</v>
      </c>
      <c r="AC435">
        <v>53540.12</v>
      </c>
      <c r="AD435">
        <v>54601.49</v>
      </c>
      <c r="AE435">
        <v>56491.61</v>
      </c>
      <c r="AF435">
        <v>35593.46</v>
      </c>
      <c r="AG435">
        <v>30726.080000000002</v>
      </c>
      <c r="AH435">
        <v>32308.92</v>
      </c>
      <c r="AI435">
        <v>32955.1</v>
      </c>
      <c r="AJ435">
        <v>33614.199999999997</v>
      </c>
      <c r="AK435">
        <v>34286.480000000003</v>
      </c>
      <c r="AL435">
        <v>34972.21</v>
      </c>
      <c r="AM435">
        <v>35671.660000000003</v>
      </c>
    </row>
    <row r="436" spans="1:39" x14ac:dyDescent="0.25">
      <c r="A436" s="449" t="str">
        <f t="shared" si="5"/>
        <v/>
      </c>
      <c r="Z436" s="449" t="str">
        <f t="shared" si="6"/>
        <v>Tran</v>
      </c>
      <c r="AA436" t="s">
        <v>1857</v>
      </c>
      <c r="AB436" t="s">
        <v>1988</v>
      </c>
      <c r="AC436">
        <v>145128.97</v>
      </c>
      <c r="AD436">
        <v>159614.97</v>
      </c>
      <c r="AE436">
        <v>165905.13</v>
      </c>
      <c r="AF436">
        <v>145793.66</v>
      </c>
      <c r="AG436">
        <v>172422.67</v>
      </c>
      <c r="AH436">
        <v>173860.85</v>
      </c>
      <c r="AI436">
        <v>177338.07</v>
      </c>
      <c r="AJ436">
        <v>180884.83</v>
      </c>
      <c r="AK436">
        <v>184502.52</v>
      </c>
      <c r="AL436">
        <v>188192.58</v>
      </c>
      <c r="AM436">
        <v>191956.43</v>
      </c>
    </row>
    <row r="437" spans="1:39" x14ac:dyDescent="0.25">
      <c r="A437" s="449" t="str">
        <f t="shared" si="5"/>
        <v/>
      </c>
      <c r="Z437" s="449" t="str">
        <f t="shared" si="6"/>
        <v xml:space="preserve">Not </v>
      </c>
      <c r="AA437" t="s">
        <v>1858</v>
      </c>
      <c r="AB437" t="s">
        <v>1980</v>
      </c>
      <c r="AC437">
        <v>185300.82</v>
      </c>
      <c r="AD437">
        <v>206952.64</v>
      </c>
      <c r="AE437">
        <v>201311.49</v>
      </c>
      <c r="AF437">
        <v>266735.63</v>
      </c>
      <c r="AG437">
        <v>179237</v>
      </c>
      <c r="AH437">
        <v>203077.73</v>
      </c>
      <c r="AI437">
        <v>206123.9</v>
      </c>
      <c r="AJ437">
        <v>209215.75</v>
      </c>
      <c r="AK437">
        <v>212353.99</v>
      </c>
      <c r="AL437">
        <v>215539.3</v>
      </c>
      <c r="AM437">
        <v>218772.39</v>
      </c>
    </row>
    <row r="438" spans="1:39" x14ac:dyDescent="0.25">
      <c r="A438" s="449" t="str">
        <f t="shared" si="5"/>
        <v/>
      </c>
      <c r="Z438" s="449" t="str">
        <f t="shared" si="6"/>
        <v>Heal</v>
      </c>
      <c r="AA438" t="s">
        <v>1859</v>
      </c>
      <c r="AB438" t="s">
        <v>1978</v>
      </c>
      <c r="AC438">
        <v>0</v>
      </c>
      <c r="AD438">
        <v>4314.24</v>
      </c>
      <c r="AE438">
        <v>13875</v>
      </c>
      <c r="AF438">
        <v>23139.64</v>
      </c>
      <c r="AG438">
        <v>19996.45</v>
      </c>
      <c r="AH438">
        <v>13715.78</v>
      </c>
      <c r="AI438">
        <v>13921.52</v>
      </c>
      <c r="AJ438">
        <v>14130.34</v>
      </c>
      <c r="AK438">
        <v>14342.29</v>
      </c>
      <c r="AL438">
        <v>14557.43</v>
      </c>
      <c r="AM438">
        <v>14775.79</v>
      </c>
    </row>
    <row r="439" spans="1:39" x14ac:dyDescent="0.25">
      <c r="A439" s="449" t="str">
        <f t="shared" si="5"/>
        <v/>
      </c>
      <c r="Z439" s="449" t="str">
        <f t="shared" si="6"/>
        <v>IPER</v>
      </c>
      <c r="AA439" t="s">
        <v>1859</v>
      </c>
      <c r="AB439" t="s">
        <v>1979</v>
      </c>
      <c r="AC439">
        <v>12000</v>
      </c>
      <c r="AD439">
        <v>0</v>
      </c>
      <c r="AE439">
        <v>12000</v>
      </c>
      <c r="AF439">
        <v>18000</v>
      </c>
      <c r="AG439">
        <v>30000</v>
      </c>
      <c r="AH439">
        <v>18000</v>
      </c>
      <c r="AI439">
        <v>18270</v>
      </c>
      <c r="AJ439">
        <v>18544.05</v>
      </c>
      <c r="AK439">
        <v>18822.21</v>
      </c>
      <c r="AL439">
        <v>19104.54</v>
      </c>
      <c r="AM439">
        <v>19391.11</v>
      </c>
    </row>
    <row r="440" spans="1:39" x14ac:dyDescent="0.25">
      <c r="A440" s="449" t="str">
        <f t="shared" si="5"/>
        <v/>
      </c>
      <c r="Z440" s="449" t="str">
        <f t="shared" si="6"/>
        <v xml:space="preserve">Not </v>
      </c>
      <c r="AA440" t="s">
        <v>1859</v>
      </c>
      <c r="AB440" t="s">
        <v>1980</v>
      </c>
      <c r="AC440">
        <v>83268</v>
      </c>
      <c r="AD440">
        <v>4486.4799999999996</v>
      </c>
      <c r="AE440">
        <v>64173.56</v>
      </c>
      <c r="AF440">
        <v>52401</v>
      </c>
      <c r="AG440">
        <v>78772</v>
      </c>
      <c r="AH440">
        <v>69601.5</v>
      </c>
      <c r="AI440">
        <v>70645.52</v>
      </c>
      <c r="AJ440">
        <v>71705.210000000006</v>
      </c>
      <c r="AK440">
        <v>72780.78</v>
      </c>
      <c r="AL440">
        <v>73872.5</v>
      </c>
      <c r="AM440">
        <v>74980.58</v>
      </c>
    </row>
    <row r="441" spans="1:39" x14ac:dyDescent="0.25">
      <c r="A441" s="449" t="str">
        <f t="shared" si="5"/>
        <v/>
      </c>
      <c r="Z441" s="449" t="str">
        <f t="shared" si="6"/>
        <v>Soci</v>
      </c>
      <c r="AA441" t="s">
        <v>1859</v>
      </c>
      <c r="AB441" t="s">
        <v>1984</v>
      </c>
      <c r="AC441">
        <v>918</v>
      </c>
      <c r="AD441">
        <v>0</v>
      </c>
      <c r="AE441">
        <v>918</v>
      </c>
      <c r="AF441">
        <v>1377</v>
      </c>
      <c r="AG441">
        <v>2295</v>
      </c>
      <c r="AH441">
        <v>1377</v>
      </c>
      <c r="AI441">
        <v>1397.65</v>
      </c>
      <c r="AJ441">
        <v>1418.62</v>
      </c>
      <c r="AK441">
        <v>1439.9</v>
      </c>
      <c r="AL441">
        <v>1461.5</v>
      </c>
      <c r="AM441">
        <v>1483.42</v>
      </c>
    </row>
    <row r="442" spans="1:39" x14ac:dyDescent="0.25">
      <c r="A442" s="449" t="str">
        <f t="shared" si="5"/>
        <v/>
      </c>
      <c r="Z442" s="449" t="str">
        <f t="shared" si="6"/>
        <v>Unem</v>
      </c>
      <c r="AA442" t="s">
        <v>1859</v>
      </c>
      <c r="AB442" t="s">
        <v>1989</v>
      </c>
      <c r="AC442">
        <v>0</v>
      </c>
      <c r="AD442">
        <v>410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</row>
    <row r="443" spans="1:39" x14ac:dyDescent="0.25">
      <c r="A443" s="449" t="str">
        <f t="shared" si="5"/>
        <v/>
      </c>
      <c r="Z443" s="449" t="str">
        <f t="shared" si="6"/>
        <v>Work</v>
      </c>
      <c r="AA443" t="s">
        <v>1859</v>
      </c>
      <c r="AB443" t="s">
        <v>1990</v>
      </c>
      <c r="AC443">
        <v>79223</v>
      </c>
      <c r="AD443">
        <v>4451</v>
      </c>
      <c r="AE443">
        <v>56377</v>
      </c>
      <c r="AF443">
        <v>41791</v>
      </c>
      <c r="AG443">
        <v>37639</v>
      </c>
      <c r="AH443">
        <v>34058.699999999997</v>
      </c>
      <c r="AI443">
        <v>34569.58</v>
      </c>
      <c r="AJ443">
        <v>35088.120000000003</v>
      </c>
      <c r="AK443">
        <v>35614.449999999997</v>
      </c>
      <c r="AL443">
        <v>36148.660000000003</v>
      </c>
      <c r="AM443">
        <v>36690.89</v>
      </c>
    </row>
    <row r="444" spans="1:39" x14ac:dyDescent="0.25">
      <c r="A444" s="449" t="str">
        <f t="shared" si="5"/>
        <v/>
      </c>
      <c r="Z444" s="449" t="str">
        <f t="shared" si="6"/>
        <v xml:space="preserve">Not </v>
      </c>
      <c r="AA444" t="s">
        <v>1860</v>
      </c>
      <c r="AB444" t="s">
        <v>1980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</row>
    <row r="445" spans="1:39" x14ac:dyDescent="0.25">
      <c r="A445" s="449" t="str">
        <f t="shared" si="5"/>
        <v/>
      </c>
      <c r="Z445" s="449" t="str">
        <f t="shared" si="6"/>
        <v xml:space="preserve">Not </v>
      </c>
      <c r="AA445" t="s">
        <v>1861</v>
      </c>
      <c r="AB445" t="s">
        <v>1980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</row>
    <row r="446" spans="1:39" x14ac:dyDescent="0.25">
      <c r="A446" s="449" t="str">
        <f t="shared" si="5"/>
        <v/>
      </c>
      <c r="Z446" s="449" t="str">
        <f t="shared" si="6"/>
        <v xml:space="preserve">Not </v>
      </c>
      <c r="AA446" t="s">
        <v>1862</v>
      </c>
      <c r="AB446" t="s">
        <v>1980</v>
      </c>
      <c r="AC446">
        <v>2083750.78</v>
      </c>
      <c r="AD446">
        <v>1780185</v>
      </c>
      <c r="AE446">
        <v>784479.64</v>
      </c>
      <c r="AF446">
        <v>615147.94999999995</v>
      </c>
      <c r="AG446">
        <v>475273.04</v>
      </c>
      <c r="AH446">
        <v>478853.06</v>
      </c>
      <c r="AI446">
        <v>486035.86</v>
      </c>
      <c r="AJ446">
        <v>493326.39</v>
      </c>
      <c r="AK446">
        <v>500726.29</v>
      </c>
      <c r="AL446">
        <v>508237.18</v>
      </c>
      <c r="AM446">
        <v>515860.74</v>
      </c>
    </row>
    <row r="447" spans="1:39" x14ac:dyDescent="0.25">
      <c r="A447" s="449" t="str">
        <f>LEFT(C447,4)</f>
        <v/>
      </c>
      <c r="Z447" s="449" t="str">
        <f t="shared" si="6"/>
        <v xml:space="preserve">Not </v>
      </c>
      <c r="AA447" t="s">
        <v>1863</v>
      </c>
      <c r="AB447" t="s">
        <v>1980</v>
      </c>
      <c r="AC447">
        <v>0</v>
      </c>
      <c r="AD447">
        <v>0</v>
      </c>
      <c r="AE447">
        <v>0</v>
      </c>
      <c r="AF447">
        <v>0</v>
      </c>
      <c r="AG447">
        <v>8996.93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</row>
    <row r="448" spans="1:39" x14ac:dyDescent="0.25">
      <c r="A448" s="449" t="str">
        <f t="shared" si="5"/>
        <v/>
      </c>
      <c r="Z448" s="449" t="str">
        <f t="shared" si="6"/>
        <v xml:space="preserve">Not </v>
      </c>
      <c r="AA448" t="s">
        <v>1864</v>
      </c>
      <c r="AB448" t="s">
        <v>1980</v>
      </c>
      <c r="AC448">
        <v>0</v>
      </c>
      <c r="AD448">
        <v>0</v>
      </c>
      <c r="AE448">
        <v>50363.21</v>
      </c>
      <c r="AF448">
        <v>259338.87</v>
      </c>
      <c r="AG448">
        <v>73863.649999999994</v>
      </c>
      <c r="AH448">
        <v>75340.92</v>
      </c>
      <c r="AI448">
        <v>76471.03</v>
      </c>
      <c r="AJ448">
        <v>77618.100000000006</v>
      </c>
      <c r="AK448">
        <v>78782.37</v>
      </c>
      <c r="AL448">
        <v>79964.11</v>
      </c>
      <c r="AM448">
        <v>81163.570000000007</v>
      </c>
    </row>
    <row r="449" spans="1:39" x14ac:dyDescent="0.25">
      <c r="A449" s="449" t="str">
        <f t="shared" si="5"/>
        <v/>
      </c>
      <c r="Z449" s="449" t="str">
        <f t="shared" si="6"/>
        <v xml:space="preserve">Not </v>
      </c>
      <c r="AA449" t="s">
        <v>1865</v>
      </c>
      <c r="AB449" t="s">
        <v>1980</v>
      </c>
      <c r="AC449">
        <v>124813.11</v>
      </c>
      <c r="AD449">
        <v>223587.6</v>
      </c>
      <c r="AE449">
        <v>305266.75</v>
      </c>
      <c r="AF449">
        <v>289641.87</v>
      </c>
      <c r="AG449">
        <v>290032.90000000002</v>
      </c>
      <c r="AH449">
        <v>288032.90000000002</v>
      </c>
      <c r="AI449">
        <v>917353.39</v>
      </c>
      <c r="AJ449">
        <v>934738.69</v>
      </c>
      <c r="AK449">
        <v>941189.77</v>
      </c>
      <c r="AL449">
        <v>962707.62</v>
      </c>
      <c r="AM449">
        <v>974293.24</v>
      </c>
    </row>
    <row r="450" spans="1:39" x14ac:dyDescent="0.25">
      <c r="A450" s="449" t="str">
        <f t="shared" si="5"/>
        <v/>
      </c>
      <c r="Z450" s="449" t="str">
        <f t="shared" si="6"/>
        <v>Grou</v>
      </c>
      <c r="AA450" t="s">
        <v>1866</v>
      </c>
      <c r="AB450" t="s">
        <v>1977</v>
      </c>
      <c r="AC450">
        <v>147.85</v>
      </c>
      <c r="AD450">
        <v>131.41999999999999</v>
      </c>
      <c r="AE450">
        <v>118.17</v>
      </c>
      <c r="AF450">
        <v>124.04</v>
      </c>
      <c r="AG450">
        <v>134.68</v>
      </c>
      <c r="AH450">
        <v>134.28</v>
      </c>
      <c r="AI450">
        <v>136.29</v>
      </c>
      <c r="AJ450">
        <v>138.34</v>
      </c>
      <c r="AK450">
        <v>140.41</v>
      </c>
      <c r="AL450">
        <v>142.52000000000001</v>
      </c>
      <c r="AM450">
        <v>144.66</v>
      </c>
    </row>
    <row r="451" spans="1:39" x14ac:dyDescent="0.25">
      <c r="A451" s="449" t="str">
        <f t="shared" si="5"/>
        <v/>
      </c>
      <c r="Z451" s="449" t="str">
        <f t="shared" si="6"/>
        <v>Heal</v>
      </c>
      <c r="AA451" t="s">
        <v>1866</v>
      </c>
      <c r="AB451" t="s">
        <v>1978</v>
      </c>
      <c r="AC451">
        <v>2506.48</v>
      </c>
      <c r="AD451">
        <v>2619.2399999999998</v>
      </c>
      <c r="AE451">
        <v>2227.9299999999998</v>
      </c>
      <c r="AF451">
        <v>0</v>
      </c>
      <c r="AG451">
        <v>6048.94</v>
      </c>
      <c r="AH451">
        <v>6377.16</v>
      </c>
      <c r="AI451">
        <v>6472.82</v>
      </c>
      <c r="AJ451">
        <v>6569.91</v>
      </c>
      <c r="AK451">
        <v>6668.46</v>
      </c>
      <c r="AL451">
        <v>6768.49</v>
      </c>
      <c r="AM451">
        <v>6870.01</v>
      </c>
    </row>
    <row r="452" spans="1:39" x14ac:dyDescent="0.25">
      <c r="A452" s="449" t="str">
        <f t="shared" si="5"/>
        <v/>
      </c>
      <c r="Z452" s="449" t="str">
        <f t="shared" si="6"/>
        <v>IPER</v>
      </c>
      <c r="AA452" t="s">
        <v>1866</v>
      </c>
      <c r="AB452" t="s">
        <v>1979</v>
      </c>
      <c r="AC452">
        <v>10246.1</v>
      </c>
      <c r="AD452">
        <v>10498.23</v>
      </c>
      <c r="AE452">
        <v>6065.08</v>
      </c>
      <c r="AF452">
        <v>7390.66</v>
      </c>
      <c r="AG452">
        <v>13076.7</v>
      </c>
      <c r="AH452">
        <v>12389.04</v>
      </c>
      <c r="AI452">
        <v>12574.88</v>
      </c>
      <c r="AJ452">
        <v>12763.5</v>
      </c>
      <c r="AK452">
        <v>12954.95</v>
      </c>
      <c r="AL452">
        <v>13149.28</v>
      </c>
      <c r="AM452">
        <v>13346.51</v>
      </c>
    </row>
    <row r="453" spans="1:39" x14ac:dyDescent="0.25">
      <c r="A453" s="449" t="str">
        <f t="shared" si="5"/>
        <v/>
      </c>
      <c r="Z453" s="449" t="str">
        <f t="shared" si="6"/>
        <v xml:space="preserve">Not </v>
      </c>
      <c r="AA453" t="s">
        <v>1866</v>
      </c>
      <c r="AB453" t="s">
        <v>1980</v>
      </c>
      <c r="AC453">
        <v>205356.25</v>
      </c>
      <c r="AD453">
        <v>207891.09</v>
      </c>
      <c r="AE453">
        <v>286722.12</v>
      </c>
      <c r="AF453">
        <v>185079.16</v>
      </c>
      <c r="AG453">
        <v>190003.01</v>
      </c>
      <c r="AH453">
        <v>193803.09</v>
      </c>
      <c r="AI453">
        <v>196710.14</v>
      </c>
      <c r="AJ453">
        <v>199660.79</v>
      </c>
      <c r="AK453">
        <v>202655.7</v>
      </c>
      <c r="AL453">
        <v>205695.54</v>
      </c>
      <c r="AM453">
        <v>208780.97</v>
      </c>
    </row>
    <row r="454" spans="1:39" x14ac:dyDescent="0.25">
      <c r="A454" s="449" t="str">
        <f t="shared" si="5"/>
        <v/>
      </c>
      <c r="Z454" s="449" t="str">
        <f t="shared" si="6"/>
        <v>Oper</v>
      </c>
      <c r="AA454" t="s">
        <v>1866</v>
      </c>
      <c r="AB454" t="s">
        <v>1982</v>
      </c>
      <c r="AC454">
        <v>123237.33</v>
      </c>
      <c r="AD454">
        <v>121439.82</v>
      </c>
      <c r="AE454">
        <v>124492.24</v>
      </c>
      <c r="AF454">
        <v>129497.95</v>
      </c>
      <c r="AG454">
        <v>123440.73</v>
      </c>
      <c r="AH454">
        <v>138733.92000000001</v>
      </c>
      <c r="AI454">
        <v>140814.93</v>
      </c>
      <c r="AJ454">
        <v>142927.15</v>
      </c>
      <c r="AK454">
        <v>145071.06</v>
      </c>
      <c r="AL454">
        <v>147247.13</v>
      </c>
      <c r="AM454">
        <v>149455.82999999999</v>
      </c>
    </row>
    <row r="455" spans="1:39" x14ac:dyDescent="0.25">
      <c r="A455" s="449" t="str">
        <f t="shared" si="5"/>
        <v/>
      </c>
      <c r="Z455" s="449" t="str">
        <f t="shared" si="6"/>
        <v>Soci</v>
      </c>
      <c r="AA455" t="s">
        <v>1866</v>
      </c>
      <c r="AB455" t="s">
        <v>1984</v>
      </c>
      <c r="AC455">
        <v>8761.9500000000007</v>
      </c>
      <c r="AD455">
        <v>8695.4599999999991</v>
      </c>
      <c r="AE455">
        <v>9275.85</v>
      </c>
      <c r="AF455">
        <v>9867.34</v>
      </c>
      <c r="AG455">
        <v>9308.83</v>
      </c>
      <c r="AH455">
        <v>10437</v>
      </c>
      <c r="AI455">
        <v>10593.55</v>
      </c>
      <c r="AJ455">
        <v>10752.46</v>
      </c>
      <c r="AK455">
        <v>10913.75</v>
      </c>
      <c r="AL455">
        <v>11077.45</v>
      </c>
      <c r="AM455">
        <v>11243.61</v>
      </c>
    </row>
    <row r="456" spans="1:39" x14ac:dyDescent="0.25">
      <c r="A456" s="449" t="str">
        <f t="shared" si="5"/>
        <v/>
      </c>
      <c r="Z456" s="449" t="str">
        <f t="shared" si="6"/>
        <v>Heal</v>
      </c>
      <c r="AA456" t="s">
        <v>1867</v>
      </c>
      <c r="AB456" t="s">
        <v>1978</v>
      </c>
      <c r="AC456">
        <v>0</v>
      </c>
      <c r="AD456">
        <v>0</v>
      </c>
      <c r="AE456">
        <v>0</v>
      </c>
      <c r="AF456">
        <v>0</v>
      </c>
      <c r="AG456">
        <v>17646.39</v>
      </c>
      <c r="AH456">
        <v>17999.32</v>
      </c>
      <c r="AI456">
        <v>18269.310000000001</v>
      </c>
      <c r="AJ456">
        <v>18543.349999999999</v>
      </c>
      <c r="AK456">
        <v>18821.5</v>
      </c>
      <c r="AL456">
        <v>19103.82</v>
      </c>
      <c r="AM456">
        <v>19390.38</v>
      </c>
    </row>
    <row r="457" spans="1:39" x14ac:dyDescent="0.25">
      <c r="A457" s="449" t="str">
        <f t="shared" si="5"/>
        <v/>
      </c>
      <c r="Z457" s="449" t="str">
        <f t="shared" si="6"/>
        <v xml:space="preserve">Not </v>
      </c>
      <c r="AA457" t="s">
        <v>1868</v>
      </c>
      <c r="AB457" t="s">
        <v>1980</v>
      </c>
      <c r="AC457">
        <v>0</v>
      </c>
      <c r="AD457">
        <v>0</v>
      </c>
      <c r="AE457">
        <v>0</v>
      </c>
      <c r="AF457">
        <v>12000</v>
      </c>
      <c r="AG457">
        <v>6600</v>
      </c>
      <c r="AH457">
        <v>6600</v>
      </c>
      <c r="AI457">
        <v>6699</v>
      </c>
      <c r="AJ457">
        <v>6799.48</v>
      </c>
      <c r="AK457">
        <v>6901.48</v>
      </c>
      <c r="AL457">
        <v>7005</v>
      </c>
      <c r="AM457">
        <v>7110.07</v>
      </c>
    </row>
    <row r="458" spans="1:39" x14ac:dyDescent="0.25">
      <c r="A458" s="449" t="str">
        <f t="shared" si="5"/>
        <v/>
      </c>
      <c r="Z458" s="449" t="str">
        <f t="shared" si="6"/>
        <v/>
      </c>
    </row>
    <row r="459" spans="1:39" x14ac:dyDescent="0.25">
      <c r="A459" s="449" t="str">
        <f t="shared" si="5"/>
        <v/>
      </c>
      <c r="Z459" s="449" t="str">
        <f t="shared" si="6"/>
        <v/>
      </c>
    </row>
    <row r="460" spans="1:39" x14ac:dyDescent="0.25">
      <c r="A460" s="449" t="str">
        <f t="shared" si="5"/>
        <v/>
      </c>
      <c r="Z460" s="449" t="str">
        <f t="shared" si="6"/>
        <v/>
      </c>
    </row>
    <row r="461" spans="1:39" x14ac:dyDescent="0.25">
      <c r="A461" s="449" t="str">
        <f t="shared" si="5"/>
        <v/>
      </c>
      <c r="Z461" s="449" t="str">
        <f t="shared" si="6"/>
        <v/>
      </c>
    </row>
    <row r="462" spans="1:39" x14ac:dyDescent="0.25">
      <c r="A462" s="449" t="str">
        <f t="shared" si="5"/>
        <v/>
      </c>
      <c r="Z462" s="449" t="str">
        <f t="shared" si="6"/>
        <v/>
      </c>
    </row>
    <row r="463" spans="1:39" x14ac:dyDescent="0.25">
      <c r="A463" s="449" t="str">
        <f t="shared" si="5"/>
        <v/>
      </c>
      <c r="Z463" s="449" t="str">
        <f t="shared" si="6"/>
        <v/>
      </c>
    </row>
    <row r="464" spans="1:39" x14ac:dyDescent="0.25">
      <c r="A464" s="449" t="str">
        <f t="shared" si="5"/>
        <v/>
      </c>
      <c r="Z464" s="449" t="str">
        <f t="shared" si="6"/>
        <v/>
      </c>
    </row>
    <row r="465" spans="1:26" x14ac:dyDescent="0.25">
      <c r="A465" s="449" t="str">
        <f t="shared" si="5"/>
        <v/>
      </c>
      <c r="Z465" s="449" t="str">
        <f t="shared" si="6"/>
        <v/>
      </c>
    </row>
    <row r="466" spans="1:26" x14ac:dyDescent="0.25">
      <c r="A466" s="449" t="str">
        <f t="shared" ref="A466:A500" si="7">LEFT(C466,4)</f>
        <v/>
      </c>
      <c r="Z466" s="449" t="str">
        <f t="shared" ref="Z466:Z529" si="8">LEFT(AB466,4)</f>
        <v/>
      </c>
    </row>
    <row r="467" spans="1:26" x14ac:dyDescent="0.25">
      <c r="A467" s="449" t="str">
        <f t="shared" si="7"/>
        <v/>
      </c>
      <c r="Z467" s="449" t="str">
        <f t="shared" si="8"/>
        <v/>
      </c>
    </row>
    <row r="468" spans="1:26" x14ac:dyDescent="0.25">
      <c r="A468" s="449" t="str">
        <f t="shared" si="7"/>
        <v/>
      </c>
      <c r="Z468" s="449" t="str">
        <f t="shared" si="8"/>
        <v/>
      </c>
    </row>
    <row r="469" spans="1:26" x14ac:dyDescent="0.25">
      <c r="A469" s="449" t="str">
        <f t="shared" si="7"/>
        <v/>
      </c>
      <c r="Z469" s="449" t="str">
        <f t="shared" si="8"/>
        <v/>
      </c>
    </row>
    <row r="470" spans="1:26" x14ac:dyDescent="0.25">
      <c r="A470" s="449" t="str">
        <f t="shared" si="7"/>
        <v/>
      </c>
      <c r="Z470" s="449" t="str">
        <f t="shared" si="8"/>
        <v/>
      </c>
    </row>
    <row r="471" spans="1:26" x14ac:dyDescent="0.25">
      <c r="A471" s="449" t="str">
        <f t="shared" si="7"/>
        <v/>
      </c>
      <c r="Z471" s="449" t="str">
        <f t="shared" si="8"/>
        <v/>
      </c>
    </row>
    <row r="472" spans="1:26" x14ac:dyDescent="0.25">
      <c r="A472" s="449" t="str">
        <f t="shared" si="7"/>
        <v/>
      </c>
      <c r="Z472" s="449" t="str">
        <f t="shared" si="8"/>
        <v/>
      </c>
    </row>
    <row r="473" spans="1:26" x14ac:dyDescent="0.25">
      <c r="A473" s="449" t="str">
        <f t="shared" si="7"/>
        <v/>
      </c>
      <c r="Z473" s="449" t="str">
        <f t="shared" si="8"/>
        <v/>
      </c>
    </row>
    <row r="474" spans="1:26" x14ac:dyDescent="0.25">
      <c r="A474" s="449" t="str">
        <f t="shared" si="7"/>
        <v/>
      </c>
      <c r="Z474" s="449" t="str">
        <f t="shared" si="8"/>
        <v/>
      </c>
    </row>
    <row r="475" spans="1:26" x14ac:dyDescent="0.25">
      <c r="A475" s="449" t="str">
        <f t="shared" si="7"/>
        <v/>
      </c>
      <c r="Z475" s="449" t="str">
        <f t="shared" si="8"/>
        <v/>
      </c>
    </row>
    <row r="476" spans="1:26" x14ac:dyDescent="0.25">
      <c r="A476" s="449" t="str">
        <f t="shared" si="7"/>
        <v/>
      </c>
      <c r="Z476" s="449" t="str">
        <f t="shared" si="8"/>
        <v/>
      </c>
    </row>
    <row r="477" spans="1:26" x14ac:dyDescent="0.25">
      <c r="A477" s="449" t="str">
        <f t="shared" si="7"/>
        <v/>
      </c>
      <c r="Z477" s="449" t="str">
        <f t="shared" si="8"/>
        <v/>
      </c>
    </row>
    <row r="478" spans="1:26" x14ac:dyDescent="0.25">
      <c r="A478" s="449" t="str">
        <f t="shared" si="7"/>
        <v/>
      </c>
      <c r="Z478" s="449" t="str">
        <f t="shared" si="8"/>
        <v/>
      </c>
    </row>
    <row r="479" spans="1:26" x14ac:dyDescent="0.25">
      <c r="A479" s="449" t="str">
        <f t="shared" si="7"/>
        <v/>
      </c>
      <c r="Z479" s="449" t="str">
        <f t="shared" si="8"/>
        <v/>
      </c>
    </row>
    <row r="480" spans="1:26" x14ac:dyDescent="0.25">
      <c r="A480" s="449" t="str">
        <f t="shared" si="7"/>
        <v/>
      </c>
      <c r="Z480" s="449" t="str">
        <f t="shared" si="8"/>
        <v/>
      </c>
    </row>
    <row r="481" spans="1:26" x14ac:dyDescent="0.25">
      <c r="A481" s="449" t="str">
        <f t="shared" si="7"/>
        <v/>
      </c>
      <c r="Z481" s="449" t="str">
        <f t="shared" si="8"/>
        <v/>
      </c>
    </row>
    <row r="482" spans="1:26" x14ac:dyDescent="0.25">
      <c r="A482" s="449" t="str">
        <f t="shared" si="7"/>
        <v/>
      </c>
      <c r="Z482" s="449" t="str">
        <f t="shared" si="8"/>
        <v/>
      </c>
    </row>
    <row r="483" spans="1:26" x14ac:dyDescent="0.25">
      <c r="A483" s="449" t="str">
        <f t="shared" si="7"/>
        <v/>
      </c>
      <c r="Z483" s="449" t="str">
        <f t="shared" si="8"/>
        <v/>
      </c>
    </row>
    <row r="484" spans="1:26" x14ac:dyDescent="0.25">
      <c r="A484" s="449" t="str">
        <f t="shared" si="7"/>
        <v/>
      </c>
      <c r="Z484" s="449" t="str">
        <f t="shared" si="8"/>
        <v/>
      </c>
    </row>
    <row r="485" spans="1:26" x14ac:dyDescent="0.25">
      <c r="A485" s="449" t="str">
        <f t="shared" si="7"/>
        <v/>
      </c>
      <c r="Z485" s="449" t="str">
        <f t="shared" si="8"/>
        <v/>
      </c>
    </row>
    <row r="486" spans="1:26" x14ac:dyDescent="0.25">
      <c r="A486" s="449" t="str">
        <f t="shared" si="7"/>
        <v/>
      </c>
      <c r="Z486" s="449" t="str">
        <f t="shared" si="8"/>
        <v/>
      </c>
    </row>
    <row r="487" spans="1:26" x14ac:dyDescent="0.25">
      <c r="A487" s="449" t="str">
        <f t="shared" si="7"/>
        <v/>
      </c>
      <c r="Z487" s="449" t="str">
        <f t="shared" si="8"/>
        <v/>
      </c>
    </row>
    <row r="488" spans="1:26" x14ac:dyDescent="0.25">
      <c r="A488" s="449" t="str">
        <f t="shared" si="7"/>
        <v/>
      </c>
      <c r="Z488" s="449" t="str">
        <f t="shared" si="8"/>
        <v/>
      </c>
    </row>
    <row r="489" spans="1:26" x14ac:dyDescent="0.25">
      <c r="A489" s="449" t="str">
        <f t="shared" si="7"/>
        <v/>
      </c>
      <c r="Z489" s="449" t="str">
        <f t="shared" si="8"/>
        <v/>
      </c>
    </row>
    <row r="490" spans="1:26" x14ac:dyDescent="0.25">
      <c r="A490" s="449" t="str">
        <f t="shared" si="7"/>
        <v/>
      </c>
      <c r="Z490" s="449" t="str">
        <f t="shared" si="8"/>
        <v/>
      </c>
    </row>
    <row r="491" spans="1:26" x14ac:dyDescent="0.25">
      <c r="A491" s="449" t="str">
        <f t="shared" si="7"/>
        <v/>
      </c>
      <c r="Z491" s="449" t="str">
        <f t="shared" si="8"/>
        <v/>
      </c>
    </row>
    <row r="492" spans="1:26" x14ac:dyDescent="0.25">
      <c r="A492" s="449" t="str">
        <f t="shared" si="7"/>
        <v/>
      </c>
      <c r="Z492" s="449" t="str">
        <f t="shared" si="8"/>
        <v/>
      </c>
    </row>
    <row r="493" spans="1:26" x14ac:dyDescent="0.25">
      <c r="A493" s="449" t="str">
        <f t="shared" si="7"/>
        <v/>
      </c>
      <c r="Z493" s="449" t="str">
        <f t="shared" si="8"/>
        <v/>
      </c>
    </row>
    <row r="494" spans="1:26" x14ac:dyDescent="0.25">
      <c r="A494" s="449" t="str">
        <f t="shared" si="7"/>
        <v/>
      </c>
      <c r="Z494" s="449" t="str">
        <f t="shared" si="8"/>
        <v/>
      </c>
    </row>
    <row r="495" spans="1:26" x14ac:dyDescent="0.25">
      <c r="A495" s="449" t="str">
        <f t="shared" si="7"/>
        <v/>
      </c>
      <c r="Z495" s="449" t="str">
        <f t="shared" si="8"/>
        <v/>
      </c>
    </row>
    <row r="496" spans="1:26" x14ac:dyDescent="0.25">
      <c r="A496" s="449" t="str">
        <f t="shared" si="7"/>
        <v/>
      </c>
      <c r="Z496" s="449" t="str">
        <f t="shared" si="8"/>
        <v/>
      </c>
    </row>
    <row r="497" spans="1:26" x14ac:dyDescent="0.25">
      <c r="A497" s="449" t="str">
        <f t="shared" si="7"/>
        <v/>
      </c>
      <c r="Z497" s="449" t="str">
        <f t="shared" si="8"/>
        <v/>
      </c>
    </row>
    <row r="498" spans="1:26" x14ac:dyDescent="0.25">
      <c r="A498" s="449" t="str">
        <f t="shared" si="7"/>
        <v/>
      </c>
      <c r="Z498" s="449" t="str">
        <f t="shared" si="8"/>
        <v/>
      </c>
    </row>
    <row r="499" spans="1:26" x14ac:dyDescent="0.25">
      <c r="A499" s="449" t="str">
        <f t="shared" si="7"/>
        <v/>
      </c>
      <c r="Z499" s="449" t="str">
        <f t="shared" si="8"/>
        <v/>
      </c>
    </row>
    <row r="500" spans="1:26" x14ac:dyDescent="0.25">
      <c r="A500" s="449" t="str">
        <f t="shared" si="7"/>
        <v/>
      </c>
      <c r="Z500" s="449" t="str">
        <f t="shared" si="8"/>
        <v/>
      </c>
    </row>
    <row r="501" spans="1:26" x14ac:dyDescent="0.25">
      <c r="Z501" s="449" t="str">
        <f t="shared" si="8"/>
        <v/>
      </c>
    </row>
    <row r="502" spans="1:26" x14ac:dyDescent="0.25">
      <c r="Z502" s="449" t="str">
        <f t="shared" si="8"/>
        <v/>
      </c>
    </row>
    <row r="503" spans="1:26" x14ac:dyDescent="0.25">
      <c r="Z503" s="449" t="str">
        <f t="shared" si="8"/>
        <v/>
      </c>
    </row>
    <row r="504" spans="1:26" x14ac:dyDescent="0.25">
      <c r="Z504" s="449" t="str">
        <f t="shared" si="8"/>
        <v/>
      </c>
    </row>
    <row r="505" spans="1:26" x14ac:dyDescent="0.25">
      <c r="Z505" s="449" t="str">
        <f t="shared" si="8"/>
        <v/>
      </c>
    </row>
    <row r="506" spans="1:26" x14ac:dyDescent="0.25">
      <c r="Z506" s="449" t="str">
        <f t="shared" si="8"/>
        <v/>
      </c>
    </row>
    <row r="507" spans="1:26" x14ac:dyDescent="0.25">
      <c r="Z507" s="449" t="str">
        <f t="shared" si="8"/>
        <v/>
      </c>
    </row>
    <row r="508" spans="1:26" x14ac:dyDescent="0.25">
      <c r="Z508" s="449" t="str">
        <f t="shared" si="8"/>
        <v/>
      </c>
    </row>
    <row r="509" spans="1:26" x14ac:dyDescent="0.25">
      <c r="Z509" s="449" t="str">
        <f t="shared" si="8"/>
        <v/>
      </c>
    </row>
    <row r="510" spans="1:26" x14ac:dyDescent="0.25">
      <c r="Z510" s="449" t="str">
        <f t="shared" si="8"/>
        <v/>
      </c>
    </row>
    <row r="511" spans="1:26" x14ac:dyDescent="0.25">
      <c r="Z511" s="449" t="str">
        <f t="shared" si="8"/>
        <v/>
      </c>
    </row>
    <row r="512" spans="1:26" x14ac:dyDescent="0.25">
      <c r="Z512" s="449" t="str">
        <f t="shared" si="8"/>
        <v/>
      </c>
    </row>
    <row r="513" spans="26:26" x14ac:dyDescent="0.25">
      <c r="Z513" s="449" t="str">
        <f t="shared" si="8"/>
        <v/>
      </c>
    </row>
    <row r="514" spans="26:26" x14ac:dyDescent="0.25">
      <c r="Z514" s="449" t="str">
        <f t="shared" si="8"/>
        <v/>
      </c>
    </row>
    <row r="515" spans="26:26" x14ac:dyDescent="0.25">
      <c r="Z515" s="449" t="str">
        <f t="shared" si="8"/>
        <v/>
      </c>
    </row>
    <row r="516" spans="26:26" x14ac:dyDescent="0.25">
      <c r="Z516" s="449" t="str">
        <f t="shared" si="8"/>
        <v/>
      </c>
    </row>
    <row r="517" spans="26:26" x14ac:dyDescent="0.25">
      <c r="Z517" s="449" t="str">
        <f t="shared" si="8"/>
        <v/>
      </c>
    </row>
    <row r="518" spans="26:26" x14ac:dyDescent="0.25">
      <c r="Z518" s="449" t="str">
        <f t="shared" si="8"/>
        <v/>
      </c>
    </row>
    <row r="519" spans="26:26" x14ac:dyDescent="0.25">
      <c r="Z519" s="449" t="str">
        <f t="shared" si="8"/>
        <v/>
      </c>
    </row>
    <row r="520" spans="26:26" x14ac:dyDescent="0.25">
      <c r="Z520" s="449" t="str">
        <f t="shared" si="8"/>
        <v/>
      </c>
    </row>
    <row r="521" spans="26:26" x14ac:dyDescent="0.25">
      <c r="Z521" s="449" t="str">
        <f t="shared" si="8"/>
        <v/>
      </c>
    </row>
    <row r="522" spans="26:26" x14ac:dyDescent="0.25">
      <c r="Z522" s="449" t="str">
        <f t="shared" si="8"/>
        <v/>
      </c>
    </row>
    <row r="523" spans="26:26" x14ac:dyDescent="0.25">
      <c r="Z523" s="449" t="str">
        <f t="shared" si="8"/>
        <v/>
      </c>
    </row>
    <row r="524" spans="26:26" x14ac:dyDescent="0.25">
      <c r="Z524" s="449" t="str">
        <f t="shared" si="8"/>
        <v/>
      </c>
    </row>
    <row r="525" spans="26:26" x14ac:dyDescent="0.25">
      <c r="Z525" s="449" t="str">
        <f t="shared" si="8"/>
        <v/>
      </c>
    </row>
    <row r="526" spans="26:26" x14ac:dyDescent="0.25">
      <c r="Z526" s="449" t="str">
        <f t="shared" si="8"/>
        <v/>
      </c>
    </row>
    <row r="527" spans="26:26" x14ac:dyDescent="0.25">
      <c r="Z527" s="449" t="str">
        <f t="shared" si="8"/>
        <v/>
      </c>
    </row>
    <row r="528" spans="26:26" x14ac:dyDescent="0.25">
      <c r="Z528" s="449" t="str">
        <f t="shared" si="8"/>
        <v/>
      </c>
    </row>
    <row r="529" spans="26:26" x14ac:dyDescent="0.25">
      <c r="Z529" s="449" t="str">
        <f t="shared" si="8"/>
        <v/>
      </c>
    </row>
    <row r="530" spans="26:26" x14ac:dyDescent="0.25">
      <c r="Z530" s="449" t="str">
        <f t="shared" ref="Z530:Z593" si="9">LEFT(AB530,4)</f>
        <v/>
      </c>
    </row>
    <row r="531" spans="26:26" x14ac:dyDescent="0.25">
      <c r="Z531" s="449" t="str">
        <f t="shared" si="9"/>
        <v/>
      </c>
    </row>
    <row r="532" spans="26:26" x14ac:dyDescent="0.25">
      <c r="Z532" s="449" t="str">
        <f t="shared" si="9"/>
        <v/>
      </c>
    </row>
    <row r="533" spans="26:26" x14ac:dyDescent="0.25">
      <c r="Z533" s="449" t="str">
        <f t="shared" si="9"/>
        <v/>
      </c>
    </row>
    <row r="534" spans="26:26" x14ac:dyDescent="0.25">
      <c r="Z534" s="449" t="str">
        <f t="shared" si="9"/>
        <v/>
      </c>
    </row>
    <row r="535" spans="26:26" x14ac:dyDescent="0.25">
      <c r="Z535" s="449" t="str">
        <f t="shared" si="9"/>
        <v/>
      </c>
    </row>
    <row r="536" spans="26:26" x14ac:dyDescent="0.25">
      <c r="Z536" s="449" t="str">
        <f t="shared" si="9"/>
        <v/>
      </c>
    </row>
    <row r="537" spans="26:26" x14ac:dyDescent="0.25">
      <c r="Z537" s="449" t="str">
        <f t="shared" si="9"/>
        <v/>
      </c>
    </row>
    <row r="538" spans="26:26" x14ac:dyDescent="0.25">
      <c r="Z538" s="449" t="str">
        <f t="shared" si="9"/>
        <v/>
      </c>
    </row>
    <row r="539" spans="26:26" x14ac:dyDescent="0.25">
      <c r="Z539" s="449" t="str">
        <f t="shared" si="9"/>
        <v/>
      </c>
    </row>
    <row r="540" spans="26:26" x14ac:dyDescent="0.25">
      <c r="Z540" s="449" t="str">
        <f t="shared" si="9"/>
        <v/>
      </c>
    </row>
    <row r="541" spans="26:26" x14ac:dyDescent="0.25">
      <c r="Z541" s="449" t="str">
        <f t="shared" si="9"/>
        <v/>
      </c>
    </row>
    <row r="542" spans="26:26" x14ac:dyDescent="0.25">
      <c r="Z542" s="449" t="str">
        <f t="shared" si="9"/>
        <v/>
      </c>
    </row>
    <row r="543" spans="26:26" x14ac:dyDescent="0.25">
      <c r="Z543" s="449" t="str">
        <f t="shared" si="9"/>
        <v/>
      </c>
    </row>
    <row r="544" spans="26:26" x14ac:dyDescent="0.25">
      <c r="Z544" s="449" t="str">
        <f t="shared" si="9"/>
        <v/>
      </c>
    </row>
    <row r="545" spans="26:26" x14ac:dyDescent="0.25">
      <c r="Z545" s="449" t="str">
        <f t="shared" si="9"/>
        <v/>
      </c>
    </row>
    <row r="546" spans="26:26" x14ac:dyDescent="0.25">
      <c r="Z546" s="449" t="str">
        <f t="shared" si="9"/>
        <v/>
      </c>
    </row>
    <row r="547" spans="26:26" x14ac:dyDescent="0.25">
      <c r="Z547" s="449" t="str">
        <f t="shared" si="9"/>
        <v/>
      </c>
    </row>
    <row r="548" spans="26:26" x14ac:dyDescent="0.25">
      <c r="Z548" s="449" t="str">
        <f t="shared" si="9"/>
        <v/>
      </c>
    </row>
    <row r="549" spans="26:26" x14ac:dyDescent="0.25">
      <c r="Z549" s="449" t="str">
        <f t="shared" si="9"/>
        <v/>
      </c>
    </row>
    <row r="550" spans="26:26" x14ac:dyDescent="0.25">
      <c r="Z550" s="449" t="str">
        <f t="shared" si="9"/>
        <v/>
      </c>
    </row>
    <row r="551" spans="26:26" x14ac:dyDescent="0.25">
      <c r="Z551" s="449" t="str">
        <f t="shared" si="9"/>
        <v/>
      </c>
    </row>
    <row r="552" spans="26:26" x14ac:dyDescent="0.25">
      <c r="Z552" s="449" t="str">
        <f t="shared" si="9"/>
        <v/>
      </c>
    </row>
    <row r="553" spans="26:26" x14ac:dyDescent="0.25">
      <c r="Z553" s="449" t="str">
        <f t="shared" si="9"/>
        <v/>
      </c>
    </row>
    <row r="554" spans="26:26" x14ac:dyDescent="0.25">
      <c r="Z554" s="449" t="str">
        <f t="shared" si="9"/>
        <v/>
      </c>
    </row>
    <row r="555" spans="26:26" x14ac:dyDescent="0.25">
      <c r="Z555" s="449" t="str">
        <f t="shared" si="9"/>
        <v/>
      </c>
    </row>
    <row r="556" spans="26:26" x14ac:dyDescent="0.25">
      <c r="Z556" s="449" t="str">
        <f t="shared" si="9"/>
        <v/>
      </c>
    </row>
    <row r="557" spans="26:26" x14ac:dyDescent="0.25">
      <c r="Z557" s="449" t="str">
        <f t="shared" si="9"/>
        <v/>
      </c>
    </row>
    <row r="558" spans="26:26" x14ac:dyDescent="0.25">
      <c r="Z558" s="449" t="str">
        <f t="shared" si="9"/>
        <v/>
      </c>
    </row>
    <row r="559" spans="26:26" x14ac:dyDescent="0.25">
      <c r="Z559" s="449" t="str">
        <f t="shared" si="9"/>
        <v/>
      </c>
    </row>
    <row r="560" spans="26:26" x14ac:dyDescent="0.25">
      <c r="Z560" s="449" t="str">
        <f t="shared" si="9"/>
        <v/>
      </c>
    </row>
    <row r="561" spans="26:26" x14ac:dyDescent="0.25">
      <c r="Z561" s="449" t="str">
        <f t="shared" si="9"/>
        <v/>
      </c>
    </row>
    <row r="562" spans="26:26" x14ac:dyDescent="0.25">
      <c r="Z562" s="449" t="str">
        <f t="shared" si="9"/>
        <v/>
      </c>
    </row>
    <row r="563" spans="26:26" x14ac:dyDescent="0.25">
      <c r="Z563" s="449" t="str">
        <f t="shared" si="9"/>
        <v/>
      </c>
    </row>
    <row r="564" spans="26:26" x14ac:dyDescent="0.25">
      <c r="Z564" s="449" t="str">
        <f t="shared" si="9"/>
        <v/>
      </c>
    </row>
    <row r="565" spans="26:26" x14ac:dyDescent="0.25">
      <c r="Z565" s="449" t="str">
        <f t="shared" si="9"/>
        <v/>
      </c>
    </row>
    <row r="566" spans="26:26" x14ac:dyDescent="0.25">
      <c r="Z566" s="449" t="str">
        <f t="shared" si="9"/>
        <v/>
      </c>
    </row>
    <row r="567" spans="26:26" x14ac:dyDescent="0.25">
      <c r="Z567" s="449" t="str">
        <f t="shared" si="9"/>
        <v/>
      </c>
    </row>
    <row r="568" spans="26:26" x14ac:dyDescent="0.25">
      <c r="Z568" s="449" t="str">
        <f t="shared" si="9"/>
        <v/>
      </c>
    </row>
    <row r="569" spans="26:26" x14ac:dyDescent="0.25">
      <c r="Z569" s="449" t="str">
        <f t="shared" si="9"/>
        <v/>
      </c>
    </row>
    <row r="570" spans="26:26" x14ac:dyDescent="0.25">
      <c r="Z570" s="449" t="str">
        <f t="shared" si="9"/>
        <v/>
      </c>
    </row>
    <row r="571" spans="26:26" x14ac:dyDescent="0.25">
      <c r="Z571" s="449" t="str">
        <f t="shared" si="9"/>
        <v/>
      </c>
    </row>
    <row r="572" spans="26:26" x14ac:dyDescent="0.25">
      <c r="Z572" s="449" t="str">
        <f t="shared" si="9"/>
        <v/>
      </c>
    </row>
    <row r="573" spans="26:26" x14ac:dyDescent="0.25">
      <c r="Z573" s="449" t="str">
        <f t="shared" si="9"/>
        <v/>
      </c>
    </row>
    <row r="574" spans="26:26" x14ac:dyDescent="0.25">
      <c r="Z574" s="449" t="str">
        <f t="shared" si="9"/>
        <v/>
      </c>
    </row>
    <row r="575" spans="26:26" x14ac:dyDescent="0.25">
      <c r="Z575" s="449" t="str">
        <f t="shared" si="9"/>
        <v/>
      </c>
    </row>
    <row r="576" spans="26:26" x14ac:dyDescent="0.25">
      <c r="Z576" s="449" t="str">
        <f t="shared" si="9"/>
        <v/>
      </c>
    </row>
    <row r="577" spans="26:26" x14ac:dyDescent="0.25">
      <c r="Z577" s="449" t="str">
        <f t="shared" si="9"/>
        <v/>
      </c>
    </row>
    <row r="578" spans="26:26" x14ac:dyDescent="0.25">
      <c r="Z578" s="449" t="str">
        <f t="shared" si="9"/>
        <v/>
      </c>
    </row>
    <row r="579" spans="26:26" x14ac:dyDescent="0.25">
      <c r="Z579" s="449" t="str">
        <f t="shared" si="9"/>
        <v/>
      </c>
    </row>
    <row r="580" spans="26:26" x14ac:dyDescent="0.25">
      <c r="Z580" s="449" t="str">
        <f t="shared" si="9"/>
        <v/>
      </c>
    </row>
    <row r="581" spans="26:26" x14ac:dyDescent="0.25">
      <c r="Z581" s="449" t="str">
        <f t="shared" si="9"/>
        <v/>
      </c>
    </row>
    <row r="582" spans="26:26" x14ac:dyDescent="0.25">
      <c r="Z582" s="449" t="str">
        <f t="shared" si="9"/>
        <v/>
      </c>
    </row>
    <row r="583" spans="26:26" x14ac:dyDescent="0.25">
      <c r="Z583" s="449" t="str">
        <f t="shared" si="9"/>
        <v/>
      </c>
    </row>
    <row r="584" spans="26:26" x14ac:dyDescent="0.25">
      <c r="Z584" s="449" t="str">
        <f t="shared" si="9"/>
        <v/>
      </c>
    </row>
    <row r="585" spans="26:26" x14ac:dyDescent="0.25">
      <c r="Z585" s="449" t="str">
        <f t="shared" si="9"/>
        <v/>
      </c>
    </row>
    <row r="586" spans="26:26" x14ac:dyDescent="0.25">
      <c r="Z586" s="449" t="str">
        <f t="shared" si="9"/>
        <v/>
      </c>
    </row>
    <row r="587" spans="26:26" x14ac:dyDescent="0.25">
      <c r="Z587" s="449" t="str">
        <f t="shared" si="9"/>
        <v/>
      </c>
    </row>
    <row r="588" spans="26:26" x14ac:dyDescent="0.25">
      <c r="Z588" s="449" t="str">
        <f t="shared" si="9"/>
        <v/>
      </c>
    </row>
    <row r="589" spans="26:26" x14ac:dyDescent="0.25">
      <c r="Z589" s="449" t="str">
        <f t="shared" si="9"/>
        <v/>
      </c>
    </row>
    <row r="590" spans="26:26" x14ac:dyDescent="0.25">
      <c r="Z590" s="449" t="str">
        <f t="shared" si="9"/>
        <v/>
      </c>
    </row>
    <row r="591" spans="26:26" x14ac:dyDescent="0.25">
      <c r="Z591" s="449" t="str">
        <f t="shared" si="9"/>
        <v/>
      </c>
    </row>
    <row r="592" spans="26:26" x14ac:dyDescent="0.25">
      <c r="Z592" s="449" t="str">
        <f t="shared" si="9"/>
        <v/>
      </c>
    </row>
    <row r="593" spans="26:26" x14ac:dyDescent="0.25">
      <c r="Z593" s="449" t="str">
        <f t="shared" si="9"/>
        <v/>
      </c>
    </row>
    <row r="594" spans="26:26" x14ac:dyDescent="0.25">
      <c r="Z594" s="449" t="str">
        <f t="shared" ref="Z594:Z650" si="10">LEFT(AB594,4)</f>
        <v/>
      </c>
    </row>
    <row r="595" spans="26:26" x14ac:dyDescent="0.25">
      <c r="Z595" s="449" t="str">
        <f t="shared" si="10"/>
        <v/>
      </c>
    </row>
    <row r="596" spans="26:26" x14ac:dyDescent="0.25">
      <c r="Z596" s="449" t="str">
        <f t="shared" si="10"/>
        <v/>
      </c>
    </row>
    <row r="597" spans="26:26" x14ac:dyDescent="0.25">
      <c r="Z597" s="449" t="str">
        <f t="shared" si="10"/>
        <v/>
      </c>
    </row>
    <row r="598" spans="26:26" x14ac:dyDescent="0.25">
      <c r="Z598" s="449" t="str">
        <f t="shared" si="10"/>
        <v/>
      </c>
    </row>
    <row r="599" spans="26:26" x14ac:dyDescent="0.25">
      <c r="Z599" s="449" t="str">
        <f t="shared" si="10"/>
        <v/>
      </c>
    </row>
    <row r="600" spans="26:26" x14ac:dyDescent="0.25">
      <c r="Z600" s="449" t="str">
        <f t="shared" si="10"/>
        <v/>
      </c>
    </row>
    <row r="601" spans="26:26" x14ac:dyDescent="0.25">
      <c r="Z601" s="449" t="str">
        <f t="shared" si="10"/>
        <v/>
      </c>
    </row>
    <row r="602" spans="26:26" x14ac:dyDescent="0.25">
      <c r="Z602" s="449" t="str">
        <f t="shared" si="10"/>
        <v/>
      </c>
    </row>
    <row r="603" spans="26:26" x14ac:dyDescent="0.25">
      <c r="Z603" s="449" t="str">
        <f t="shared" si="10"/>
        <v/>
      </c>
    </row>
    <row r="604" spans="26:26" x14ac:dyDescent="0.25">
      <c r="Z604" s="449" t="str">
        <f t="shared" si="10"/>
        <v/>
      </c>
    </row>
    <row r="605" spans="26:26" x14ac:dyDescent="0.25">
      <c r="Z605" s="449" t="str">
        <f t="shared" si="10"/>
        <v/>
      </c>
    </row>
    <row r="606" spans="26:26" x14ac:dyDescent="0.25">
      <c r="Z606" s="449" t="str">
        <f t="shared" si="10"/>
        <v/>
      </c>
    </row>
    <row r="607" spans="26:26" x14ac:dyDescent="0.25">
      <c r="Z607" s="449" t="str">
        <f t="shared" si="10"/>
        <v/>
      </c>
    </row>
    <row r="608" spans="26:26" x14ac:dyDescent="0.25">
      <c r="Z608" s="449" t="str">
        <f t="shared" si="10"/>
        <v/>
      </c>
    </row>
    <row r="609" spans="26:26" x14ac:dyDescent="0.25">
      <c r="Z609" s="449" t="str">
        <f t="shared" si="10"/>
        <v/>
      </c>
    </row>
    <row r="610" spans="26:26" x14ac:dyDescent="0.25">
      <c r="Z610" s="449" t="str">
        <f t="shared" si="10"/>
        <v/>
      </c>
    </row>
    <row r="611" spans="26:26" x14ac:dyDescent="0.25">
      <c r="Z611" s="449" t="str">
        <f t="shared" si="10"/>
        <v/>
      </c>
    </row>
    <row r="612" spans="26:26" x14ac:dyDescent="0.25">
      <c r="Z612" s="449" t="str">
        <f t="shared" si="10"/>
        <v/>
      </c>
    </row>
    <row r="613" spans="26:26" x14ac:dyDescent="0.25">
      <c r="Z613" s="449" t="str">
        <f t="shared" si="10"/>
        <v/>
      </c>
    </row>
    <row r="614" spans="26:26" x14ac:dyDescent="0.25">
      <c r="Z614" s="449" t="str">
        <f t="shared" si="10"/>
        <v/>
      </c>
    </row>
    <row r="615" spans="26:26" x14ac:dyDescent="0.25">
      <c r="Z615" s="449" t="str">
        <f t="shared" si="10"/>
        <v/>
      </c>
    </row>
    <row r="616" spans="26:26" x14ac:dyDescent="0.25">
      <c r="Z616" s="449" t="str">
        <f t="shared" si="10"/>
        <v/>
      </c>
    </row>
    <row r="617" spans="26:26" x14ac:dyDescent="0.25">
      <c r="Z617" s="449" t="str">
        <f t="shared" si="10"/>
        <v/>
      </c>
    </row>
    <row r="618" spans="26:26" x14ac:dyDescent="0.25">
      <c r="Z618" s="449" t="str">
        <f t="shared" si="10"/>
        <v/>
      </c>
    </row>
    <row r="619" spans="26:26" x14ac:dyDescent="0.25">
      <c r="Z619" s="449" t="str">
        <f t="shared" si="10"/>
        <v/>
      </c>
    </row>
    <row r="620" spans="26:26" x14ac:dyDescent="0.25">
      <c r="Z620" s="449" t="str">
        <f t="shared" si="10"/>
        <v/>
      </c>
    </row>
    <row r="621" spans="26:26" x14ac:dyDescent="0.25">
      <c r="Z621" s="449" t="str">
        <f t="shared" si="10"/>
        <v/>
      </c>
    </row>
    <row r="622" spans="26:26" x14ac:dyDescent="0.25">
      <c r="Z622" s="449" t="str">
        <f t="shared" si="10"/>
        <v/>
      </c>
    </row>
    <row r="623" spans="26:26" x14ac:dyDescent="0.25">
      <c r="Z623" s="449" t="str">
        <f t="shared" si="10"/>
        <v/>
      </c>
    </row>
    <row r="624" spans="26:26" x14ac:dyDescent="0.25">
      <c r="Z624" s="449" t="str">
        <f t="shared" si="10"/>
        <v/>
      </c>
    </row>
    <row r="625" spans="26:26" x14ac:dyDescent="0.25">
      <c r="Z625" s="449" t="str">
        <f t="shared" si="10"/>
        <v/>
      </c>
    </row>
    <row r="626" spans="26:26" x14ac:dyDescent="0.25">
      <c r="Z626" s="449" t="str">
        <f t="shared" si="10"/>
        <v/>
      </c>
    </row>
    <row r="627" spans="26:26" x14ac:dyDescent="0.25">
      <c r="Z627" s="449" t="str">
        <f t="shared" si="10"/>
        <v/>
      </c>
    </row>
    <row r="628" spans="26:26" x14ac:dyDescent="0.25">
      <c r="Z628" s="449" t="str">
        <f t="shared" si="10"/>
        <v/>
      </c>
    </row>
    <row r="629" spans="26:26" x14ac:dyDescent="0.25">
      <c r="Z629" s="449" t="str">
        <f t="shared" si="10"/>
        <v/>
      </c>
    </row>
    <row r="630" spans="26:26" x14ac:dyDescent="0.25">
      <c r="Z630" s="449" t="str">
        <f t="shared" si="10"/>
        <v/>
      </c>
    </row>
    <row r="631" spans="26:26" x14ac:dyDescent="0.25">
      <c r="Z631" s="449" t="str">
        <f t="shared" si="10"/>
        <v/>
      </c>
    </row>
    <row r="632" spans="26:26" x14ac:dyDescent="0.25">
      <c r="Z632" s="449" t="str">
        <f t="shared" si="10"/>
        <v/>
      </c>
    </row>
    <row r="633" spans="26:26" x14ac:dyDescent="0.25">
      <c r="Z633" s="449" t="str">
        <f t="shared" si="10"/>
        <v/>
      </c>
    </row>
    <row r="634" spans="26:26" x14ac:dyDescent="0.25">
      <c r="Z634" s="449" t="str">
        <f t="shared" si="10"/>
        <v/>
      </c>
    </row>
    <row r="635" spans="26:26" x14ac:dyDescent="0.25">
      <c r="Z635" s="449" t="str">
        <f t="shared" si="10"/>
        <v/>
      </c>
    </row>
    <row r="636" spans="26:26" x14ac:dyDescent="0.25">
      <c r="Z636" s="449" t="str">
        <f t="shared" si="10"/>
        <v/>
      </c>
    </row>
    <row r="637" spans="26:26" x14ac:dyDescent="0.25">
      <c r="Z637" s="449" t="str">
        <f t="shared" si="10"/>
        <v/>
      </c>
    </row>
    <row r="638" spans="26:26" x14ac:dyDescent="0.25">
      <c r="Z638" s="449" t="str">
        <f t="shared" si="10"/>
        <v/>
      </c>
    </row>
    <row r="639" spans="26:26" x14ac:dyDescent="0.25">
      <c r="Z639" s="449" t="str">
        <f t="shared" si="10"/>
        <v/>
      </c>
    </row>
    <row r="640" spans="26:26" x14ac:dyDescent="0.25">
      <c r="Z640" s="449" t="str">
        <f t="shared" si="10"/>
        <v/>
      </c>
    </row>
    <row r="641" spans="26:26" x14ac:dyDescent="0.25">
      <c r="Z641" s="449" t="str">
        <f t="shared" si="10"/>
        <v/>
      </c>
    </row>
    <row r="642" spans="26:26" x14ac:dyDescent="0.25">
      <c r="Z642" s="449" t="str">
        <f t="shared" si="10"/>
        <v/>
      </c>
    </row>
    <row r="643" spans="26:26" x14ac:dyDescent="0.25">
      <c r="Z643" s="449" t="str">
        <f t="shared" si="10"/>
        <v/>
      </c>
    </row>
    <row r="644" spans="26:26" x14ac:dyDescent="0.25">
      <c r="Z644" s="449" t="str">
        <f t="shared" si="10"/>
        <v/>
      </c>
    </row>
    <row r="645" spans="26:26" x14ac:dyDescent="0.25">
      <c r="Z645" s="449" t="str">
        <f t="shared" si="10"/>
        <v/>
      </c>
    </row>
    <row r="646" spans="26:26" x14ac:dyDescent="0.25">
      <c r="Z646" s="449" t="str">
        <f t="shared" si="10"/>
        <v/>
      </c>
    </row>
    <row r="647" spans="26:26" x14ac:dyDescent="0.25">
      <c r="Z647" s="449" t="str">
        <f t="shared" si="10"/>
        <v/>
      </c>
    </row>
    <row r="648" spans="26:26" x14ac:dyDescent="0.25">
      <c r="Z648" s="449" t="str">
        <f t="shared" si="10"/>
        <v/>
      </c>
    </row>
    <row r="649" spans="26:26" x14ac:dyDescent="0.25">
      <c r="Z649" s="449" t="str">
        <f t="shared" si="10"/>
        <v/>
      </c>
    </row>
    <row r="650" spans="26:26" x14ac:dyDescent="0.25">
      <c r="Z650" s="449" t="str">
        <f t="shared" si="10"/>
        <v/>
      </c>
    </row>
    <row r="1000" spans="1:3" x14ac:dyDescent="0.25">
      <c r="A1000">
        <v>18</v>
      </c>
      <c r="B1000" t="s">
        <v>195</v>
      </c>
      <c r="C1000">
        <v>0</v>
      </c>
    </row>
    <row r="1001" spans="1:3" x14ac:dyDescent="0.25">
      <c r="A1001">
        <v>27</v>
      </c>
      <c r="B1001" t="s">
        <v>196</v>
      </c>
      <c r="C1001">
        <v>0</v>
      </c>
    </row>
    <row r="1002" spans="1:3" x14ac:dyDescent="0.25">
      <c r="A1002">
        <v>9</v>
      </c>
      <c r="B1002" t="s">
        <v>197</v>
      </c>
      <c r="C1002">
        <v>0</v>
      </c>
    </row>
    <row r="1003" spans="1:3" x14ac:dyDescent="0.25">
      <c r="A1003">
        <v>441</v>
      </c>
      <c r="B1003" t="s">
        <v>198</v>
      </c>
      <c r="C1003">
        <v>0</v>
      </c>
    </row>
    <row r="1004" spans="1:3" x14ac:dyDescent="0.25">
      <c r="A1004">
        <v>63</v>
      </c>
      <c r="B1004" t="s">
        <v>199</v>
      </c>
      <c r="C1004">
        <v>0</v>
      </c>
    </row>
    <row r="1005" spans="1:3" x14ac:dyDescent="0.25">
      <c r="A1005">
        <v>72</v>
      </c>
      <c r="B1005" t="s">
        <v>200</v>
      </c>
      <c r="C1005">
        <v>0</v>
      </c>
    </row>
    <row r="1006" spans="1:3" x14ac:dyDescent="0.25">
      <c r="A1006">
        <v>81</v>
      </c>
      <c r="B1006" t="s">
        <v>201</v>
      </c>
      <c r="C1006">
        <v>0</v>
      </c>
    </row>
    <row r="1007" spans="1:3" x14ac:dyDescent="0.25">
      <c r="A1007">
        <v>99</v>
      </c>
      <c r="B1007" t="s">
        <v>202</v>
      </c>
      <c r="C1007">
        <v>0</v>
      </c>
    </row>
    <row r="1008" spans="1:3" x14ac:dyDescent="0.25">
      <c r="A1008">
        <v>108</v>
      </c>
      <c r="B1008" t="s">
        <v>203</v>
      </c>
      <c r="C1008">
        <v>0</v>
      </c>
    </row>
    <row r="1009" spans="1:3" x14ac:dyDescent="0.25">
      <c r="A1009">
        <v>126</v>
      </c>
      <c r="B1009" t="s">
        <v>595</v>
      </c>
      <c r="C1009">
        <v>0</v>
      </c>
    </row>
    <row r="1010" spans="1:3" x14ac:dyDescent="0.25">
      <c r="A1010">
        <v>135</v>
      </c>
      <c r="B1010" t="s">
        <v>205</v>
      </c>
      <c r="C1010">
        <v>0</v>
      </c>
    </row>
    <row r="1011" spans="1:3" x14ac:dyDescent="0.25">
      <c r="A1011">
        <v>171</v>
      </c>
      <c r="B1011" t="s">
        <v>206</v>
      </c>
      <c r="C1011">
        <v>0</v>
      </c>
    </row>
    <row r="1012" spans="1:3" x14ac:dyDescent="0.25">
      <c r="A1012">
        <v>225</v>
      </c>
      <c r="B1012" t="s">
        <v>207</v>
      </c>
      <c r="C1012">
        <v>0</v>
      </c>
    </row>
    <row r="1013" spans="1:3" x14ac:dyDescent="0.25">
      <c r="A1013">
        <v>234</v>
      </c>
      <c r="B1013" t="s">
        <v>208</v>
      </c>
      <c r="C1013">
        <v>0</v>
      </c>
    </row>
    <row r="1014" spans="1:3" x14ac:dyDescent="0.25">
      <c r="A1014">
        <v>243</v>
      </c>
      <c r="B1014" t="s">
        <v>209</v>
      </c>
      <c r="C1014">
        <v>0</v>
      </c>
    </row>
    <row r="1015" spans="1:3" x14ac:dyDescent="0.25">
      <c r="A1015">
        <v>261</v>
      </c>
      <c r="B1015" t="s">
        <v>210</v>
      </c>
      <c r="C1015">
        <v>0</v>
      </c>
    </row>
    <row r="1016" spans="1:3" x14ac:dyDescent="0.25">
      <c r="A1016">
        <v>279</v>
      </c>
      <c r="B1016" t="s">
        <v>211</v>
      </c>
      <c r="C1016">
        <v>0</v>
      </c>
    </row>
    <row r="1017" spans="1:3" x14ac:dyDescent="0.25">
      <c r="A1017">
        <v>355</v>
      </c>
      <c r="B1017" t="s">
        <v>212</v>
      </c>
      <c r="C1017">
        <v>0</v>
      </c>
    </row>
    <row r="1018" spans="1:3" x14ac:dyDescent="0.25">
      <c r="A1018">
        <v>387</v>
      </c>
      <c r="B1018" t="s">
        <v>213</v>
      </c>
      <c r="C1018">
        <v>0</v>
      </c>
    </row>
    <row r="1019" spans="1:3" x14ac:dyDescent="0.25">
      <c r="A1019">
        <v>414</v>
      </c>
      <c r="B1019" t="s">
        <v>214</v>
      </c>
      <c r="C1019">
        <v>0</v>
      </c>
    </row>
    <row r="1020" spans="1:3" x14ac:dyDescent="0.25">
      <c r="A1020">
        <v>423</v>
      </c>
      <c r="B1020" t="s">
        <v>215</v>
      </c>
      <c r="C1020">
        <v>0</v>
      </c>
    </row>
    <row r="1021" spans="1:3" x14ac:dyDescent="0.25">
      <c r="A1021">
        <v>472</v>
      </c>
      <c r="B1021" t="s">
        <v>217</v>
      </c>
      <c r="C1021">
        <v>0</v>
      </c>
    </row>
    <row r="1022" spans="1:3" x14ac:dyDescent="0.25">
      <c r="A1022">
        <v>504</v>
      </c>
      <c r="B1022" t="s">
        <v>218</v>
      </c>
      <c r="C1022">
        <v>0</v>
      </c>
    </row>
    <row r="1023" spans="1:3" x14ac:dyDescent="0.25">
      <c r="A1023">
        <v>513</v>
      </c>
      <c r="B1023" t="s">
        <v>219</v>
      </c>
      <c r="C1023">
        <v>0</v>
      </c>
    </row>
    <row r="1024" spans="1:3" x14ac:dyDescent="0.25">
      <c r="A1024">
        <v>540</v>
      </c>
      <c r="B1024" t="s">
        <v>599</v>
      </c>
      <c r="C1024">
        <v>0</v>
      </c>
    </row>
    <row r="1025" spans="1:3" x14ac:dyDescent="0.25">
      <c r="A1025">
        <v>549</v>
      </c>
      <c r="B1025" t="s">
        <v>220</v>
      </c>
      <c r="C1025">
        <v>0</v>
      </c>
    </row>
    <row r="1026" spans="1:3" x14ac:dyDescent="0.25">
      <c r="A1026">
        <v>576</v>
      </c>
      <c r="B1026" t="s">
        <v>221</v>
      </c>
      <c r="C1026">
        <v>0</v>
      </c>
    </row>
    <row r="1027" spans="1:3" x14ac:dyDescent="0.25">
      <c r="A1027">
        <v>585</v>
      </c>
      <c r="B1027" t="s">
        <v>222</v>
      </c>
      <c r="C1027">
        <v>0</v>
      </c>
    </row>
    <row r="1028" spans="1:3" x14ac:dyDescent="0.25">
      <c r="A1028">
        <v>594</v>
      </c>
      <c r="B1028" t="s">
        <v>223</v>
      </c>
      <c r="C1028">
        <v>0</v>
      </c>
    </row>
    <row r="1029" spans="1:3" x14ac:dyDescent="0.25">
      <c r="A1029">
        <v>603</v>
      </c>
      <c r="B1029" t="s">
        <v>224</v>
      </c>
      <c r="C1029">
        <v>0</v>
      </c>
    </row>
    <row r="1030" spans="1:3" x14ac:dyDescent="0.25">
      <c r="A1030">
        <v>609</v>
      </c>
      <c r="B1030" t="s">
        <v>225</v>
      </c>
      <c r="C1030">
        <v>461995</v>
      </c>
    </row>
    <row r="1031" spans="1:3" x14ac:dyDescent="0.25">
      <c r="A1031">
        <v>621</v>
      </c>
      <c r="B1031" t="s">
        <v>226</v>
      </c>
      <c r="C1031">
        <v>1238646</v>
      </c>
    </row>
    <row r="1032" spans="1:3" x14ac:dyDescent="0.25">
      <c r="A1032">
        <v>720</v>
      </c>
      <c r="B1032" t="s">
        <v>227</v>
      </c>
      <c r="C1032">
        <v>0</v>
      </c>
    </row>
    <row r="1033" spans="1:3" x14ac:dyDescent="0.25">
      <c r="A1033">
        <v>729</v>
      </c>
      <c r="B1033" t="s">
        <v>228</v>
      </c>
      <c r="C1033">
        <v>0</v>
      </c>
    </row>
    <row r="1034" spans="1:3" x14ac:dyDescent="0.25">
      <c r="A1034">
        <v>747</v>
      </c>
      <c r="B1034" t="s">
        <v>229</v>
      </c>
      <c r="C1034">
        <v>0</v>
      </c>
    </row>
    <row r="1035" spans="1:3" x14ac:dyDescent="0.25">
      <c r="A1035">
        <v>1917</v>
      </c>
      <c r="B1035" t="s">
        <v>230</v>
      </c>
      <c r="C1035">
        <v>0</v>
      </c>
    </row>
    <row r="1036" spans="1:3" x14ac:dyDescent="0.25">
      <c r="A1036">
        <v>846</v>
      </c>
      <c r="B1036" t="s">
        <v>231</v>
      </c>
      <c r="C1036">
        <v>0</v>
      </c>
    </row>
    <row r="1037" spans="1:3" x14ac:dyDescent="0.25">
      <c r="A1037">
        <v>882</v>
      </c>
      <c r="B1037" t="s">
        <v>232</v>
      </c>
      <c r="C1037">
        <v>1431844</v>
      </c>
    </row>
    <row r="1038" spans="1:3" x14ac:dyDescent="0.25">
      <c r="A1038">
        <v>916</v>
      </c>
      <c r="B1038" t="s">
        <v>233</v>
      </c>
      <c r="C1038">
        <v>0</v>
      </c>
    </row>
    <row r="1039" spans="1:3" x14ac:dyDescent="0.25">
      <c r="A1039">
        <v>918</v>
      </c>
      <c r="B1039" t="s">
        <v>600</v>
      </c>
      <c r="C1039">
        <v>0</v>
      </c>
    </row>
    <row r="1040" spans="1:3" x14ac:dyDescent="0.25">
      <c r="A1040">
        <v>914</v>
      </c>
      <c r="B1040" t="s">
        <v>235</v>
      </c>
      <c r="C1040">
        <v>0</v>
      </c>
    </row>
    <row r="1041" spans="1:3" x14ac:dyDescent="0.25">
      <c r="A1041">
        <v>936</v>
      </c>
      <c r="B1041" t="s">
        <v>236</v>
      </c>
      <c r="C1041">
        <v>0</v>
      </c>
    </row>
    <row r="1042" spans="1:3" x14ac:dyDescent="0.25">
      <c r="A1042">
        <v>977</v>
      </c>
      <c r="B1042" t="s">
        <v>237</v>
      </c>
      <c r="C1042">
        <v>0</v>
      </c>
    </row>
    <row r="1043" spans="1:3" x14ac:dyDescent="0.25">
      <c r="A1043">
        <v>981</v>
      </c>
      <c r="B1043" t="s">
        <v>238</v>
      </c>
      <c r="C1043">
        <v>0</v>
      </c>
    </row>
    <row r="1044" spans="1:3" x14ac:dyDescent="0.25">
      <c r="A1044">
        <v>999</v>
      </c>
      <c r="B1044" t="s">
        <v>239</v>
      </c>
      <c r="C1044">
        <v>0</v>
      </c>
    </row>
    <row r="1045" spans="1:3" x14ac:dyDescent="0.25">
      <c r="A1045">
        <v>1044</v>
      </c>
      <c r="B1045" t="s">
        <v>240</v>
      </c>
      <c r="C1045">
        <v>0</v>
      </c>
    </row>
    <row r="1046" spans="1:3" x14ac:dyDescent="0.25">
      <c r="A1046">
        <v>1053</v>
      </c>
      <c r="B1046" t="s">
        <v>241</v>
      </c>
      <c r="C1046">
        <v>5208157</v>
      </c>
    </row>
    <row r="1047" spans="1:3" x14ac:dyDescent="0.25">
      <c r="A1047">
        <v>1062</v>
      </c>
      <c r="B1047" t="s">
        <v>242</v>
      </c>
      <c r="C1047">
        <v>0</v>
      </c>
    </row>
    <row r="1048" spans="1:3" x14ac:dyDescent="0.25">
      <c r="A1048">
        <v>1071</v>
      </c>
      <c r="B1048" t="s">
        <v>243</v>
      </c>
      <c r="C1048">
        <v>0</v>
      </c>
    </row>
    <row r="1049" spans="1:3" x14ac:dyDescent="0.25">
      <c r="A1049">
        <v>1089</v>
      </c>
      <c r="B1049" t="s">
        <v>244</v>
      </c>
      <c r="C1049">
        <v>0</v>
      </c>
    </row>
    <row r="1050" spans="1:3" x14ac:dyDescent="0.25">
      <c r="A1050">
        <v>1080</v>
      </c>
      <c r="B1050" t="s">
        <v>245</v>
      </c>
      <c r="C1050">
        <v>0</v>
      </c>
    </row>
    <row r="1051" spans="1:3" x14ac:dyDescent="0.25">
      <c r="A1051">
        <v>1082</v>
      </c>
      <c r="B1051" t="s">
        <v>246</v>
      </c>
      <c r="C1051">
        <v>0</v>
      </c>
    </row>
    <row r="1052" spans="1:3" x14ac:dyDescent="0.25">
      <c r="A1052">
        <v>1093</v>
      </c>
      <c r="B1052" t="s">
        <v>247</v>
      </c>
      <c r="C1052">
        <v>0</v>
      </c>
    </row>
    <row r="1053" spans="1:3" x14ac:dyDescent="0.25">
      <c r="A1053">
        <v>1079</v>
      </c>
      <c r="B1053" t="s">
        <v>248</v>
      </c>
      <c r="C1053">
        <v>0</v>
      </c>
    </row>
    <row r="1054" spans="1:3" x14ac:dyDescent="0.25">
      <c r="A1054">
        <v>1095</v>
      </c>
      <c r="B1054" t="s">
        <v>249</v>
      </c>
      <c r="C1054">
        <v>0</v>
      </c>
    </row>
    <row r="1055" spans="1:3" x14ac:dyDescent="0.25">
      <c r="A1055">
        <v>4772</v>
      </c>
      <c r="B1055" t="s">
        <v>612</v>
      </c>
      <c r="C1055">
        <v>0</v>
      </c>
    </row>
    <row r="1056" spans="1:3" x14ac:dyDescent="0.25">
      <c r="A1056">
        <v>1107</v>
      </c>
      <c r="B1056" t="s">
        <v>251</v>
      </c>
      <c r="C1056">
        <v>0</v>
      </c>
    </row>
    <row r="1057" spans="1:3" x14ac:dyDescent="0.25">
      <c r="A1057">
        <v>1116</v>
      </c>
      <c r="B1057" t="s">
        <v>252</v>
      </c>
      <c r="C1057">
        <v>0</v>
      </c>
    </row>
    <row r="1058" spans="1:3" x14ac:dyDescent="0.25">
      <c r="A1058">
        <v>1134</v>
      </c>
      <c r="B1058" t="s">
        <v>253</v>
      </c>
      <c r="C1058">
        <v>0</v>
      </c>
    </row>
    <row r="1059" spans="1:3" x14ac:dyDescent="0.25">
      <c r="A1059">
        <v>1152</v>
      </c>
      <c r="B1059" t="s">
        <v>254</v>
      </c>
      <c r="C1059">
        <v>0</v>
      </c>
    </row>
    <row r="1060" spans="1:3" x14ac:dyDescent="0.25">
      <c r="A1060">
        <v>1197</v>
      </c>
      <c r="B1060" t="s">
        <v>255</v>
      </c>
      <c r="C1060">
        <v>0</v>
      </c>
    </row>
    <row r="1061" spans="1:3" x14ac:dyDescent="0.25">
      <c r="A1061">
        <v>1206</v>
      </c>
      <c r="B1061" t="s">
        <v>601</v>
      </c>
      <c r="C1061">
        <v>0</v>
      </c>
    </row>
    <row r="1062" spans="1:3" x14ac:dyDescent="0.25">
      <c r="A1062">
        <v>1211</v>
      </c>
      <c r="B1062" t="s">
        <v>257</v>
      </c>
      <c r="C1062">
        <v>0</v>
      </c>
    </row>
    <row r="1063" spans="1:3" x14ac:dyDescent="0.25">
      <c r="A1063">
        <v>1215</v>
      </c>
      <c r="B1063" t="s">
        <v>258</v>
      </c>
      <c r="C1063">
        <v>0</v>
      </c>
    </row>
    <row r="1064" spans="1:3" x14ac:dyDescent="0.25">
      <c r="A1064">
        <v>1218</v>
      </c>
      <c r="B1064" t="s">
        <v>259</v>
      </c>
      <c r="C1064">
        <v>0</v>
      </c>
    </row>
    <row r="1065" spans="1:3" x14ac:dyDescent="0.25">
      <c r="A1065">
        <v>2763</v>
      </c>
      <c r="B1065" t="s">
        <v>260</v>
      </c>
      <c r="C1065">
        <v>0</v>
      </c>
    </row>
    <row r="1066" spans="1:3" x14ac:dyDescent="0.25">
      <c r="A1066">
        <v>1221</v>
      </c>
      <c r="B1066" t="s">
        <v>602</v>
      </c>
      <c r="C1066">
        <v>0</v>
      </c>
    </row>
    <row r="1067" spans="1:3" x14ac:dyDescent="0.25">
      <c r="A1067">
        <v>1233</v>
      </c>
      <c r="B1067" t="s">
        <v>262</v>
      </c>
      <c r="C1067">
        <v>0</v>
      </c>
    </row>
    <row r="1068" spans="1:3" x14ac:dyDescent="0.25">
      <c r="A1068">
        <v>1278</v>
      </c>
      <c r="B1068" t="s">
        <v>264</v>
      </c>
      <c r="C1068">
        <v>0</v>
      </c>
    </row>
    <row r="1069" spans="1:3" x14ac:dyDescent="0.25">
      <c r="A1069">
        <v>1332</v>
      </c>
      <c r="B1069" t="s">
        <v>265</v>
      </c>
      <c r="C1069">
        <v>0</v>
      </c>
    </row>
    <row r="1070" spans="1:3" x14ac:dyDescent="0.25">
      <c r="A1070">
        <v>1337</v>
      </c>
      <c r="B1070" t="s">
        <v>266</v>
      </c>
      <c r="C1070">
        <v>0</v>
      </c>
    </row>
    <row r="1071" spans="1:3" x14ac:dyDescent="0.25">
      <c r="A1071">
        <v>1350</v>
      </c>
      <c r="B1071" t="s">
        <v>267</v>
      </c>
      <c r="C1071">
        <v>0</v>
      </c>
    </row>
    <row r="1072" spans="1:3" x14ac:dyDescent="0.25">
      <c r="A1072">
        <v>1359</v>
      </c>
      <c r="B1072" t="s">
        <v>268</v>
      </c>
      <c r="C1072">
        <v>163057</v>
      </c>
    </row>
    <row r="1073" spans="1:3" x14ac:dyDescent="0.25">
      <c r="A1073">
        <v>1368</v>
      </c>
      <c r="B1073" t="s">
        <v>269</v>
      </c>
      <c r="C1073">
        <v>0</v>
      </c>
    </row>
    <row r="1074" spans="1:3" x14ac:dyDescent="0.25">
      <c r="A1074">
        <v>1413</v>
      </c>
      <c r="B1074" t="s">
        <v>270</v>
      </c>
      <c r="C1074">
        <v>0</v>
      </c>
    </row>
    <row r="1075" spans="1:3" x14ac:dyDescent="0.25">
      <c r="A1075">
        <v>1431</v>
      </c>
      <c r="B1075" t="s">
        <v>271</v>
      </c>
      <c r="C1075">
        <v>0</v>
      </c>
    </row>
    <row r="1076" spans="1:3" x14ac:dyDescent="0.25">
      <c r="A1076">
        <v>1476</v>
      </c>
      <c r="B1076" t="s">
        <v>273</v>
      </c>
      <c r="C1076">
        <v>2778145</v>
      </c>
    </row>
    <row r="1077" spans="1:3" x14ac:dyDescent="0.25">
      <c r="A1077">
        <v>1503</v>
      </c>
      <c r="B1077" t="s">
        <v>274</v>
      </c>
      <c r="C1077">
        <v>0</v>
      </c>
    </row>
    <row r="1078" spans="1:3" x14ac:dyDescent="0.25">
      <c r="A1078">
        <v>1576</v>
      </c>
      <c r="B1078" t="s">
        <v>275</v>
      </c>
      <c r="C1078">
        <v>0</v>
      </c>
    </row>
    <row r="1079" spans="1:3" x14ac:dyDescent="0.25">
      <c r="A1079">
        <v>1602</v>
      </c>
      <c r="B1079" t="s">
        <v>276</v>
      </c>
      <c r="C1079">
        <v>0</v>
      </c>
    </row>
    <row r="1080" spans="1:3" x14ac:dyDescent="0.25">
      <c r="A1080">
        <v>1611</v>
      </c>
      <c r="B1080" t="s">
        <v>277</v>
      </c>
      <c r="C1080">
        <v>4935283</v>
      </c>
    </row>
    <row r="1081" spans="1:3" x14ac:dyDescent="0.25">
      <c r="A1081">
        <v>1619</v>
      </c>
      <c r="B1081" t="s">
        <v>278</v>
      </c>
      <c r="C1081">
        <v>0</v>
      </c>
    </row>
    <row r="1082" spans="1:3" x14ac:dyDescent="0.25">
      <c r="A1082">
        <v>1638</v>
      </c>
      <c r="B1082" t="s">
        <v>279</v>
      </c>
      <c r="C1082">
        <v>0</v>
      </c>
    </row>
    <row r="1083" spans="1:3" x14ac:dyDescent="0.25">
      <c r="A1083">
        <v>1675</v>
      </c>
      <c r="B1083" t="s">
        <v>280</v>
      </c>
      <c r="C1083">
        <v>65470</v>
      </c>
    </row>
    <row r="1084" spans="1:3" x14ac:dyDescent="0.25">
      <c r="A1084">
        <v>1701</v>
      </c>
      <c r="B1084" t="s">
        <v>281</v>
      </c>
      <c r="C1084">
        <v>0</v>
      </c>
    </row>
    <row r="1085" spans="1:3" x14ac:dyDescent="0.25">
      <c r="A1085">
        <v>1719</v>
      </c>
      <c r="B1085" t="s">
        <v>282</v>
      </c>
      <c r="C1085">
        <v>0</v>
      </c>
    </row>
    <row r="1086" spans="1:3" x14ac:dyDescent="0.25">
      <c r="A1086">
        <v>1737</v>
      </c>
      <c r="B1086" t="s">
        <v>283</v>
      </c>
      <c r="C1086">
        <v>0</v>
      </c>
    </row>
    <row r="1087" spans="1:3" x14ac:dyDescent="0.25">
      <c r="A1087">
        <v>1782</v>
      </c>
      <c r="B1087" t="s">
        <v>284</v>
      </c>
      <c r="C1087">
        <v>0</v>
      </c>
    </row>
    <row r="1088" spans="1:3" x14ac:dyDescent="0.25">
      <c r="A1088">
        <v>1791</v>
      </c>
      <c r="B1088" t="s">
        <v>285</v>
      </c>
      <c r="C1088">
        <v>0</v>
      </c>
    </row>
    <row r="1089" spans="1:3" x14ac:dyDescent="0.25">
      <c r="A1089">
        <v>1863</v>
      </c>
      <c r="B1089" t="s">
        <v>286</v>
      </c>
      <c r="C1089">
        <v>3266914</v>
      </c>
    </row>
    <row r="1090" spans="1:3" x14ac:dyDescent="0.25">
      <c r="A1090">
        <v>1908</v>
      </c>
      <c r="B1090" t="s">
        <v>287</v>
      </c>
      <c r="C1090">
        <v>0</v>
      </c>
    </row>
    <row r="1091" spans="1:3" x14ac:dyDescent="0.25">
      <c r="A1091">
        <v>1926</v>
      </c>
      <c r="B1091" t="s">
        <v>288</v>
      </c>
      <c r="C1091">
        <v>0</v>
      </c>
    </row>
    <row r="1092" spans="1:3" x14ac:dyDescent="0.25">
      <c r="A1092">
        <v>1944</v>
      </c>
      <c r="B1092" t="s">
        <v>289</v>
      </c>
      <c r="C1092">
        <v>0</v>
      </c>
    </row>
    <row r="1093" spans="1:3" x14ac:dyDescent="0.25">
      <c r="A1093">
        <v>1953</v>
      </c>
      <c r="B1093" t="s">
        <v>290</v>
      </c>
      <c r="C1093">
        <v>199096</v>
      </c>
    </row>
    <row r="1094" spans="1:3" x14ac:dyDescent="0.25">
      <c r="A1094">
        <v>1963</v>
      </c>
      <c r="B1094" t="s">
        <v>291</v>
      </c>
      <c r="C1094">
        <v>0</v>
      </c>
    </row>
    <row r="1095" spans="1:3" x14ac:dyDescent="0.25">
      <c r="A1095">
        <v>3582</v>
      </c>
      <c r="B1095" t="s">
        <v>292</v>
      </c>
      <c r="C1095">
        <v>188164</v>
      </c>
    </row>
    <row r="1096" spans="1:3" x14ac:dyDescent="0.25">
      <c r="A1096">
        <v>3978</v>
      </c>
      <c r="B1096" t="s">
        <v>609</v>
      </c>
      <c r="C1096">
        <v>0</v>
      </c>
    </row>
    <row r="1097" spans="1:3" x14ac:dyDescent="0.25">
      <c r="A1097">
        <v>6741</v>
      </c>
      <c r="B1097" t="s">
        <v>294</v>
      </c>
      <c r="C1097">
        <v>0</v>
      </c>
    </row>
    <row r="1098" spans="1:3" x14ac:dyDescent="0.25">
      <c r="A1098">
        <v>1970</v>
      </c>
      <c r="B1098" t="s">
        <v>295</v>
      </c>
      <c r="C1098">
        <v>159289</v>
      </c>
    </row>
    <row r="1099" spans="1:3" x14ac:dyDescent="0.25">
      <c r="A1099">
        <v>1972</v>
      </c>
      <c r="B1099" t="s">
        <v>296</v>
      </c>
      <c r="C1099">
        <v>0</v>
      </c>
    </row>
    <row r="1100" spans="1:3" x14ac:dyDescent="0.25">
      <c r="A1100">
        <v>1965</v>
      </c>
      <c r="B1100" t="s">
        <v>297</v>
      </c>
      <c r="C1100">
        <v>0</v>
      </c>
    </row>
    <row r="1101" spans="1:3" x14ac:dyDescent="0.25">
      <c r="A1101">
        <v>657</v>
      </c>
      <c r="B1101" t="s">
        <v>298</v>
      </c>
      <c r="C1101">
        <v>0</v>
      </c>
    </row>
    <row r="1102" spans="1:3" x14ac:dyDescent="0.25">
      <c r="A1102">
        <v>1989</v>
      </c>
      <c r="B1102" t="s">
        <v>299</v>
      </c>
      <c r="C1102">
        <v>0</v>
      </c>
    </row>
    <row r="1103" spans="1:3" x14ac:dyDescent="0.25">
      <c r="A1103">
        <v>2007</v>
      </c>
      <c r="B1103" t="s">
        <v>300</v>
      </c>
      <c r="C1103">
        <v>0</v>
      </c>
    </row>
    <row r="1104" spans="1:3" x14ac:dyDescent="0.25">
      <c r="A1104">
        <v>2088</v>
      </c>
      <c r="B1104" t="s">
        <v>301</v>
      </c>
      <c r="C1104">
        <v>0</v>
      </c>
    </row>
    <row r="1105" spans="1:3" x14ac:dyDescent="0.25">
      <c r="A1105">
        <v>2097</v>
      </c>
      <c r="B1105" t="s">
        <v>603</v>
      </c>
      <c r="C1105">
        <v>0</v>
      </c>
    </row>
    <row r="1106" spans="1:3" x14ac:dyDescent="0.25">
      <c r="A1106">
        <v>2113</v>
      </c>
      <c r="B1106" t="s">
        <v>303</v>
      </c>
      <c r="C1106">
        <v>0</v>
      </c>
    </row>
    <row r="1107" spans="1:3" x14ac:dyDescent="0.25">
      <c r="A1107">
        <v>2124</v>
      </c>
      <c r="B1107" t="s">
        <v>304</v>
      </c>
      <c r="C1107">
        <v>0</v>
      </c>
    </row>
    <row r="1108" spans="1:3" x14ac:dyDescent="0.25">
      <c r="A1108">
        <v>2151</v>
      </c>
      <c r="B1108" t="s">
        <v>305</v>
      </c>
      <c r="C1108">
        <v>0</v>
      </c>
    </row>
    <row r="1109" spans="1:3" x14ac:dyDescent="0.25">
      <c r="A1109">
        <v>2169</v>
      </c>
      <c r="B1109" t="s">
        <v>306</v>
      </c>
      <c r="C1109">
        <v>0</v>
      </c>
    </row>
    <row r="1110" spans="1:3" x14ac:dyDescent="0.25">
      <c r="A1110">
        <v>2205</v>
      </c>
      <c r="B1110" t="s">
        <v>307</v>
      </c>
      <c r="C1110">
        <v>0</v>
      </c>
    </row>
    <row r="1111" spans="1:3" x14ac:dyDescent="0.25">
      <c r="A1111">
        <v>2295</v>
      </c>
      <c r="B1111" t="s">
        <v>308</v>
      </c>
      <c r="C1111">
        <v>0</v>
      </c>
    </row>
    <row r="1112" spans="1:3" x14ac:dyDescent="0.25">
      <c r="A1112">
        <v>2313</v>
      </c>
      <c r="B1112" t="s">
        <v>309</v>
      </c>
      <c r="C1112">
        <v>0</v>
      </c>
    </row>
    <row r="1113" spans="1:3" x14ac:dyDescent="0.25">
      <c r="A1113">
        <v>2322</v>
      </c>
      <c r="B1113" t="s">
        <v>310</v>
      </c>
      <c r="C1113">
        <v>0</v>
      </c>
    </row>
    <row r="1114" spans="1:3" x14ac:dyDescent="0.25">
      <c r="A1114">
        <v>2369</v>
      </c>
      <c r="B1114" t="s">
        <v>311</v>
      </c>
      <c r="C1114">
        <v>0</v>
      </c>
    </row>
    <row r="1115" spans="1:3" x14ac:dyDescent="0.25">
      <c r="A1115">
        <v>2376</v>
      </c>
      <c r="B1115" t="s">
        <v>313</v>
      </c>
      <c r="C1115">
        <v>0</v>
      </c>
    </row>
    <row r="1116" spans="1:3" x14ac:dyDescent="0.25">
      <c r="A1116">
        <v>2403</v>
      </c>
      <c r="B1116" t="s">
        <v>314</v>
      </c>
      <c r="C1116">
        <v>0</v>
      </c>
    </row>
    <row r="1117" spans="1:3" x14ac:dyDescent="0.25">
      <c r="A1117">
        <v>2457</v>
      </c>
      <c r="B1117" t="s">
        <v>315</v>
      </c>
      <c r="C1117">
        <v>0</v>
      </c>
    </row>
    <row r="1118" spans="1:3" x14ac:dyDescent="0.25">
      <c r="A1118">
        <v>2466</v>
      </c>
      <c r="B1118" t="s">
        <v>316</v>
      </c>
      <c r="C1118">
        <v>408013</v>
      </c>
    </row>
    <row r="1119" spans="1:3" x14ac:dyDescent="0.25">
      <c r="A1119">
        <v>2493</v>
      </c>
      <c r="B1119" t="s">
        <v>317</v>
      </c>
      <c r="C1119">
        <v>0</v>
      </c>
    </row>
    <row r="1120" spans="1:3" x14ac:dyDescent="0.25">
      <c r="A1120">
        <v>2502</v>
      </c>
      <c r="B1120" t="s">
        <v>318</v>
      </c>
      <c r="C1120">
        <v>0</v>
      </c>
    </row>
    <row r="1121" spans="1:3" x14ac:dyDescent="0.25">
      <c r="A1121">
        <v>2511</v>
      </c>
      <c r="B1121" t="s">
        <v>319</v>
      </c>
      <c r="C1121">
        <v>0</v>
      </c>
    </row>
    <row r="1122" spans="1:3" x14ac:dyDescent="0.25">
      <c r="A1122">
        <v>2520</v>
      </c>
      <c r="B1122" t="s">
        <v>320</v>
      </c>
      <c r="C1122">
        <v>0</v>
      </c>
    </row>
    <row r="1123" spans="1:3" x14ac:dyDescent="0.25">
      <c r="A1123">
        <v>2682</v>
      </c>
      <c r="B1123" t="s">
        <v>605</v>
      </c>
      <c r="C1123">
        <v>0</v>
      </c>
    </row>
    <row r="1124" spans="1:3" x14ac:dyDescent="0.25">
      <c r="A1124">
        <v>2556</v>
      </c>
      <c r="B1124" t="s">
        <v>321</v>
      </c>
      <c r="C1124">
        <v>0</v>
      </c>
    </row>
    <row r="1125" spans="1:3" x14ac:dyDescent="0.25">
      <c r="A1125">
        <v>3195</v>
      </c>
      <c r="B1125" t="s">
        <v>608</v>
      </c>
      <c r="C1125">
        <v>306566</v>
      </c>
    </row>
    <row r="1126" spans="1:3" x14ac:dyDescent="0.25">
      <c r="A1126">
        <v>2709</v>
      </c>
      <c r="B1126" t="s">
        <v>323</v>
      </c>
      <c r="C1126">
        <v>0</v>
      </c>
    </row>
    <row r="1127" spans="1:3" x14ac:dyDescent="0.25">
      <c r="A1127">
        <v>2718</v>
      </c>
      <c r="B1127" t="s">
        <v>324</v>
      </c>
      <c r="C1127">
        <v>0</v>
      </c>
    </row>
    <row r="1128" spans="1:3" x14ac:dyDescent="0.25">
      <c r="A1128">
        <v>2727</v>
      </c>
      <c r="B1128" t="s">
        <v>325</v>
      </c>
      <c r="C1128">
        <v>0</v>
      </c>
    </row>
    <row r="1129" spans="1:3" x14ac:dyDescent="0.25">
      <c r="A1129">
        <v>2754</v>
      </c>
      <c r="B1129" t="s">
        <v>326</v>
      </c>
      <c r="C1129">
        <v>0</v>
      </c>
    </row>
    <row r="1130" spans="1:3" x14ac:dyDescent="0.25">
      <c r="A1130">
        <v>2772</v>
      </c>
      <c r="B1130" t="s">
        <v>328</v>
      </c>
      <c r="C1130">
        <v>0</v>
      </c>
    </row>
    <row r="1131" spans="1:3" x14ac:dyDescent="0.25">
      <c r="A1131">
        <v>2781</v>
      </c>
      <c r="B1131" t="s">
        <v>329</v>
      </c>
      <c r="C1131">
        <v>0</v>
      </c>
    </row>
    <row r="1132" spans="1:3" x14ac:dyDescent="0.25">
      <c r="A1132">
        <v>2826</v>
      </c>
      <c r="B1132" t="s">
        <v>330</v>
      </c>
      <c r="C1132">
        <v>0</v>
      </c>
    </row>
    <row r="1133" spans="1:3" x14ac:dyDescent="0.25">
      <c r="A1133">
        <v>2834</v>
      </c>
      <c r="B1133" t="s">
        <v>331</v>
      </c>
      <c r="C1133">
        <v>0</v>
      </c>
    </row>
    <row r="1134" spans="1:3" x14ac:dyDescent="0.25">
      <c r="A1134">
        <v>2846</v>
      </c>
      <c r="B1134" t="s">
        <v>332</v>
      </c>
      <c r="C1134">
        <v>0</v>
      </c>
    </row>
    <row r="1135" spans="1:3" x14ac:dyDescent="0.25">
      <c r="A1135">
        <v>2862</v>
      </c>
      <c r="B1135" t="s">
        <v>333</v>
      </c>
      <c r="C1135">
        <v>0</v>
      </c>
    </row>
    <row r="1136" spans="1:3" x14ac:dyDescent="0.25">
      <c r="A1136">
        <v>2977</v>
      </c>
      <c r="B1136" t="s">
        <v>334</v>
      </c>
      <c r="C1136">
        <v>0</v>
      </c>
    </row>
    <row r="1137" spans="1:3" x14ac:dyDescent="0.25">
      <c r="A1137">
        <v>2988</v>
      </c>
      <c r="B1137" t="s">
        <v>335</v>
      </c>
      <c r="C1137">
        <v>0</v>
      </c>
    </row>
    <row r="1138" spans="1:3" x14ac:dyDescent="0.25">
      <c r="A1138">
        <v>2766</v>
      </c>
      <c r="B1138" t="s">
        <v>606</v>
      </c>
      <c r="C1138">
        <v>0</v>
      </c>
    </row>
    <row r="1139" spans="1:3" x14ac:dyDescent="0.25">
      <c r="A1139">
        <v>3029</v>
      </c>
      <c r="B1139" t="s">
        <v>336</v>
      </c>
      <c r="C1139">
        <v>0</v>
      </c>
    </row>
    <row r="1140" spans="1:3" x14ac:dyDescent="0.25">
      <c r="A1140">
        <v>3033</v>
      </c>
      <c r="B1140" t="s">
        <v>337</v>
      </c>
      <c r="C1140">
        <v>0</v>
      </c>
    </row>
    <row r="1141" spans="1:3" x14ac:dyDescent="0.25">
      <c r="A1141">
        <v>3042</v>
      </c>
      <c r="B1141" t="s">
        <v>338</v>
      </c>
      <c r="C1141">
        <v>206909</v>
      </c>
    </row>
    <row r="1142" spans="1:3" x14ac:dyDescent="0.25">
      <c r="A1142">
        <v>3060</v>
      </c>
      <c r="B1142" t="s">
        <v>339</v>
      </c>
      <c r="C1142">
        <v>367341</v>
      </c>
    </row>
    <row r="1143" spans="1:3" x14ac:dyDescent="0.25">
      <c r="A1143">
        <v>3168</v>
      </c>
      <c r="B1143" t="s">
        <v>607</v>
      </c>
      <c r="C1143">
        <v>0</v>
      </c>
    </row>
    <row r="1144" spans="1:3" x14ac:dyDescent="0.25">
      <c r="A1144">
        <v>3105</v>
      </c>
      <c r="B1144" t="s">
        <v>341</v>
      </c>
      <c r="C1144">
        <v>0</v>
      </c>
    </row>
    <row r="1145" spans="1:3" x14ac:dyDescent="0.25">
      <c r="A1145">
        <v>3114</v>
      </c>
      <c r="B1145" t="s">
        <v>342</v>
      </c>
      <c r="C1145">
        <v>0</v>
      </c>
    </row>
    <row r="1146" spans="1:3" x14ac:dyDescent="0.25">
      <c r="A1146">
        <v>3119</v>
      </c>
      <c r="B1146" t="s">
        <v>343</v>
      </c>
      <c r="C1146">
        <v>0</v>
      </c>
    </row>
    <row r="1147" spans="1:3" x14ac:dyDescent="0.25">
      <c r="A1147">
        <v>3141</v>
      </c>
      <c r="B1147" t="s">
        <v>344</v>
      </c>
      <c r="C1147">
        <v>0</v>
      </c>
    </row>
    <row r="1148" spans="1:3" x14ac:dyDescent="0.25">
      <c r="A1148">
        <v>3150</v>
      </c>
      <c r="B1148" t="s">
        <v>345</v>
      </c>
      <c r="C1148">
        <v>0</v>
      </c>
    </row>
    <row r="1149" spans="1:3" x14ac:dyDescent="0.25">
      <c r="A1149">
        <v>3154</v>
      </c>
      <c r="B1149" t="s">
        <v>346</v>
      </c>
      <c r="C1149">
        <v>0</v>
      </c>
    </row>
    <row r="1150" spans="1:3" x14ac:dyDescent="0.25">
      <c r="A1150">
        <v>3186</v>
      </c>
      <c r="B1150" t="s">
        <v>347</v>
      </c>
      <c r="C1150">
        <v>0</v>
      </c>
    </row>
    <row r="1151" spans="1:3" x14ac:dyDescent="0.25">
      <c r="A1151">
        <v>3204</v>
      </c>
      <c r="B1151" t="s">
        <v>348</v>
      </c>
      <c r="C1151">
        <v>0</v>
      </c>
    </row>
    <row r="1152" spans="1:3" x14ac:dyDescent="0.25">
      <c r="A1152">
        <v>3231</v>
      </c>
      <c r="B1152" t="s">
        <v>349</v>
      </c>
      <c r="C1152">
        <v>1979227</v>
      </c>
    </row>
    <row r="1153" spans="1:3" x14ac:dyDescent="0.25">
      <c r="A1153">
        <v>3312</v>
      </c>
      <c r="B1153" t="s">
        <v>350</v>
      </c>
      <c r="C1153">
        <v>0</v>
      </c>
    </row>
    <row r="1154" spans="1:3" x14ac:dyDescent="0.25">
      <c r="A1154">
        <v>3330</v>
      </c>
      <c r="B1154" t="s">
        <v>351</v>
      </c>
      <c r="C1154">
        <v>0</v>
      </c>
    </row>
    <row r="1155" spans="1:3" x14ac:dyDescent="0.25">
      <c r="A1155">
        <v>3348</v>
      </c>
      <c r="B1155" t="s">
        <v>352</v>
      </c>
      <c r="C1155">
        <v>0</v>
      </c>
    </row>
    <row r="1156" spans="1:3" x14ac:dyDescent="0.25">
      <c r="A1156">
        <v>3375</v>
      </c>
      <c r="B1156" t="s">
        <v>353</v>
      </c>
      <c r="C1156">
        <v>0</v>
      </c>
    </row>
    <row r="1157" spans="1:3" x14ac:dyDescent="0.25">
      <c r="A1157">
        <v>3420</v>
      </c>
      <c r="B1157" t="s">
        <v>354</v>
      </c>
      <c r="C1157">
        <v>0</v>
      </c>
    </row>
    <row r="1158" spans="1:3" x14ac:dyDescent="0.25">
      <c r="A1158">
        <v>3465</v>
      </c>
      <c r="B1158" t="s">
        <v>355</v>
      </c>
      <c r="C1158">
        <v>0</v>
      </c>
    </row>
    <row r="1159" spans="1:3" x14ac:dyDescent="0.25">
      <c r="A1159">
        <v>3537</v>
      </c>
      <c r="B1159" t="s">
        <v>356</v>
      </c>
      <c r="C1159">
        <v>0</v>
      </c>
    </row>
    <row r="1160" spans="1:3" x14ac:dyDescent="0.25">
      <c r="A1160">
        <v>3555</v>
      </c>
      <c r="B1160" t="s">
        <v>357</v>
      </c>
      <c r="C1160">
        <v>0</v>
      </c>
    </row>
    <row r="1161" spans="1:3" x14ac:dyDescent="0.25">
      <c r="A1161">
        <v>3600</v>
      </c>
      <c r="B1161" t="s">
        <v>358</v>
      </c>
      <c r="C1161">
        <v>644754</v>
      </c>
    </row>
    <row r="1162" spans="1:3" x14ac:dyDescent="0.25">
      <c r="A1162">
        <v>3609</v>
      </c>
      <c r="B1162" t="s">
        <v>359</v>
      </c>
      <c r="C1162">
        <v>0</v>
      </c>
    </row>
    <row r="1163" spans="1:3" x14ac:dyDescent="0.25">
      <c r="A1163">
        <v>3645</v>
      </c>
      <c r="B1163" t="s">
        <v>360</v>
      </c>
      <c r="C1163">
        <v>0</v>
      </c>
    </row>
    <row r="1164" spans="1:3" x14ac:dyDescent="0.25">
      <c r="A1164">
        <v>3715</v>
      </c>
      <c r="B1164" t="s">
        <v>361</v>
      </c>
      <c r="C1164">
        <v>2144137</v>
      </c>
    </row>
    <row r="1165" spans="1:3" x14ac:dyDescent="0.25">
      <c r="A1165">
        <v>3744</v>
      </c>
      <c r="B1165" t="s">
        <v>362</v>
      </c>
      <c r="C1165">
        <v>0</v>
      </c>
    </row>
    <row r="1166" spans="1:3" x14ac:dyDescent="0.25">
      <c r="A1166">
        <v>3798</v>
      </c>
      <c r="B1166" t="s">
        <v>363</v>
      </c>
      <c r="C1166">
        <v>0</v>
      </c>
    </row>
    <row r="1167" spans="1:3" x14ac:dyDescent="0.25">
      <c r="A1167">
        <v>3816</v>
      </c>
      <c r="B1167" t="s">
        <v>364</v>
      </c>
      <c r="C1167">
        <v>0</v>
      </c>
    </row>
    <row r="1168" spans="1:3" x14ac:dyDescent="0.25">
      <c r="A1168">
        <v>3841</v>
      </c>
      <c r="B1168" t="s">
        <v>365</v>
      </c>
      <c r="C1168">
        <v>0</v>
      </c>
    </row>
    <row r="1169" spans="1:3" x14ac:dyDescent="0.25">
      <c r="A1169">
        <v>3897</v>
      </c>
      <c r="B1169" t="s">
        <v>366</v>
      </c>
      <c r="C1169">
        <v>0</v>
      </c>
    </row>
    <row r="1170" spans="1:3" x14ac:dyDescent="0.25">
      <c r="A1170">
        <v>3906</v>
      </c>
      <c r="B1170" t="s">
        <v>367</v>
      </c>
      <c r="C1170">
        <v>0</v>
      </c>
    </row>
    <row r="1171" spans="1:3" x14ac:dyDescent="0.25">
      <c r="A1171">
        <v>3942</v>
      </c>
      <c r="B1171" t="s">
        <v>368</v>
      </c>
      <c r="C1171">
        <v>0</v>
      </c>
    </row>
    <row r="1172" spans="1:3" x14ac:dyDescent="0.25">
      <c r="A1172">
        <v>4023</v>
      </c>
      <c r="B1172" t="s">
        <v>369</v>
      </c>
      <c r="C1172">
        <v>0</v>
      </c>
    </row>
    <row r="1173" spans="1:3" x14ac:dyDescent="0.25">
      <c r="A1173">
        <v>4033</v>
      </c>
      <c r="B1173" t="s">
        <v>610</v>
      </c>
      <c r="C1173">
        <v>0</v>
      </c>
    </row>
    <row r="1174" spans="1:3" x14ac:dyDescent="0.25">
      <c r="A1174">
        <v>4041</v>
      </c>
      <c r="B1174" t="s">
        <v>371</v>
      </c>
      <c r="C1174">
        <v>0</v>
      </c>
    </row>
    <row r="1175" spans="1:3" x14ac:dyDescent="0.25">
      <c r="A1175">
        <v>4043</v>
      </c>
      <c r="B1175" t="s">
        <v>372</v>
      </c>
      <c r="C1175">
        <v>0</v>
      </c>
    </row>
    <row r="1176" spans="1:3" x14ac:dyDescent="0.25">
      <c r="A1176">
        <v>4068</v>
      </c>
      <c r="B1176" t="s">
        <v>373</v>
      </c>
      <c r="C1176">
        <v>0</v>
      </c>
    </row>
    <row r="1177" spans="1:3" x14ac:dyDescent="0.25">
      <c r="A1177">
        <v>4086</v>
      </c>
      <c r="B1177" t="s">
        <v>374</v>
      </c>
      <c r="C1177">
        <v>0</v>
      </c>
    </row>
    <row r="1178" spans="1:3" x14ac:dyDescent="0.25">
      <c r="A1178">
        <v>4104</v>
      </c>
      <c r="B1178" t="s">
        <v>375</v>
      </c>
      <c r="C1178">
        <v>1664077</v>
      </c>
    </row>
    <row r="1179" spans="1:3" x14ac:dyDescent="0.25">
      <c r="A1179">
        <v>4122</v>
      </c>
      <c r="B1179" t="s">
        <v>376</v>
      </c>
      <c r="C1179">
        <v>0</v>
      </c>
    </row>
    <row r="1180" spans="1:3" x14ac:dyDescent="0.25">
      <c r="A1180">
        <v>4131</v>
      </c>
      <c r="B1180" t="s">
        <v>377</v>
      </c>
      <c r="C1180">
        <v>0</v>
      </c>
    </row>
    <row r="1181" spans="1:3" x14ac:dyDescent="0.25">
      <c r="A1181">
        <v>4203</v>
      </c>
      <c r="B1181" t="s">
        <v>378</v>
      </c>
      <c r="C1181">
        <v>0</v>
      </c>
    </row>
    <row r="1182" spans="1:3" x14ac:dyDescent="0.25">
      <c r="A1182">
        <v>4212</v>
      </c>
      <c r="B1182" t="s">
        <v>379</v>
      </c>
      <c r="C1182">
        <v>0</v>
      </c>
    </row>
    <row r="1183" spans="1:3" x14ac:dyDescent="0.25">
      <c r="A1183">
        <v>4419</v>
      </c>
      <c r="B1183" t="s">
        <v>611</v>
      </c>
      <c r="C1183">
        <v>0</v>
      </c>
    </row>
    <row r="1184" spans="1:3" x14ac:dyDescent="0.25">
      <c r="A1184">
        <v>4269</v>
      </c>
      <c r="B1184" t="s">
        <v>381</v>
      </c>
      <c r="C1184">
        <v>0</v>
      </c>
    </row>
    <row r="1185" spans="1:3" x14ac:dyDescent="0.25">
      <c r="A1185">
        <v>4271</v>
      </c>
      <c r="B1185" t="s">
        <v>382</v>
      </c>
      <c r="C1185">
        <v>0</v>
      </c>
    </row>
    <row r="1186" spans="1:3" x14ac:dyDescent="0.25">
      <c r="A1186">
        <v>4356</v>
      </c>
      <c r="B1186" t="s">
        <v>383</v>
      </c>
      <c r="C1186">
        <v>0</v>
      </c>
    </row>
    <row r="1187" spans="1:3" x14ac:dyDescent="0.25">
      <c r="A1187">
        <v>4149</v>
      </c>
      <c r="B1187" t="s">
        <v>384</v>
      </c>
      <c r="C1187">
        <v>0</v>
      </c>
    </row>
    <row r="1188" spans="1:3" x14ac:dyDescent="0.25">
      <c r="A1188">
        <v>4437</v>
      </c>
      <c r="B1188" t="s">
        <v>385</v>
      </c>
      <c r="C1188">
        <v>0</v>
      </c>
    </row>
    <row r="1189" spans="1:3" x14ac:dyDescent="0.25">
      <c r="A1189">
        <v>4446</v>
      </c>
      <c r="B1189" t="s">
        <v>386</v>
      </c>
      <c r="C1189">
        <v>0</v>
      </c>
    </row>
    <row r="1190" spans="1:3" x14ac:dyDescent="0.25">
      <c r="A1190">
        <v>4491</v>
      </c>
      <c r="B1190" t="s">
        <v>387</v>
      </c>
      <c r="C1190">
        <v>0</v>
      </c>
    </row>
    <row r="1191" spans="1:3" x14ac:dyDescent="0.25">
      <c r="A1191">
        <v>4505</v>
      </c>
      <c r="B1191" t="s">
        <v>388</v>
      </c>
      <c r="C1191">
        <v>0</v>
      </c>
    </row>
    <row r="1192" spans="1:3" x14ac:dyDescent="0.25">
      <c r="A1192">
        <v>4509</v>
      </c>
      <c r="B1192" t="s">
        <v>389</v>
      </c>
      <c r="C1192">
        <v>0</v>
      </c>
    </row>
    <row r="1193" spans="1:3" x14ac:dyDescent="0.25">
      <c r="A1193">
        <v>4518</v>
      </c>
      <c r="B1193" t="s">
        <v>390</v>
      </c>
      <c r="C1193">
        <v>0</v>
      </c>
    </row>
    <row r="1194" spans="1:3" x14ac:dyDescent="0.25">
      <c r="A1194">
        <v>4527</v>
      </c>
      <c r="B1194" t="s">
        <v>391</v>
      </c>
      <c r="C1194">
        <v>0</v>
      </c>
    </row>
    <row r="1195" spans="1:3" x14ac:dyDescent="0.25">
      <c r="A1195">
        <v>4536</v>
      </c>
      <c r="B1195" t="s">
        <v>392</v>
      </c>
      <c r="C1195">
        <v>606800</v>
      </c>
    </row>
    <row r="1196" spans="1:3" x14ac:dyDescent="0.25">
      <c r="A1196">
        <v>4554</v>
      </c>
      <c r="B1196" t="s">
        <v>393</v>
      </c>
      <c r="C1196">
        <v>0</v>
      </c>
    </row>
    <row r="1197" spans="1:3" x14ac:dyDescent="0.25">
      <c r="A1197">
        <v>4572</v>
      </c>
      <c r="B1197" t="s">
        <v>394</v>
      </c>
      <c r="C1197">
        <v>0</v>
      </c>
    </row>
    <row r="1198" spans="1:3" x14ac:dyDescent="0.25">
      <c r="A1198">
        <v>4581</v>
      </c>
      <c r="B1198" t="s">
        <v>395</v>
      </c>
      <c r="C1198">
        <v>1650458</v>
      </c>
    </row>
    <row r="1199" spans="1:3" x14ac:dyDescent="0.25">
      <c r="A1199">
        <v>4599</v>
      </c>
      <c r="B1199" t="s">
        <v>396</v>
      </c>
      <c r="C1199">
        <v>0</v>
      </c>
    </row>
    <row r="1200" spans="1:3" x14ac:dyDescent="0.25">
      <c r="A1200">
        <v>4617</v>
      </c>
      <c r="B1200" t="s">
        <v>397</v>
      </c>
      <c r="C1200">
        <v>0</v>
      </c>
    </row>
    <row r="1201" spans="1:3" x14ac:dyDescent="0.25">
      <c r="A1201">
        <v>4662</v>
      </c>
      <c r="B1201" t="s">
        <v>398</v>
      </c>
      <c r="C1201">
        <v>0</v>
      </c>
    </row>
    <row r="1202" spans="1:3" x14ac:dyDescent="0.25">
      <c r="A1202">
        <v>4689</v>
      </c>
      <c r="B1202" t="s">
        <v>399</v>
      </c>
      <c r="C1202">
        <v>0</v>
      </c>
    </row>
    <row r="1203" spans="1:3" x14ac:dyDescent="0.25">
      <c r="A1203">
        <v>4644</v>
      </c>
      <c r="B1203" t="s">
        <v>400</v>
      </c>
      <c r="C1203">
        <v>0</v>
      </c>
    </row>
    <row r="1204" spans="1:3" x14ac:dyDescent="0.25">
      <c r="A1204">
        <v>4725</v>
      </c>
      <c r="B1204" t="s">
        <v>401</v>
      </c>
      <c r="C1204">
        <v>0</v>
      </c>
    </row>
    <row r="1205" spans="1:3" x14ac:dyDescent="0.25">
      <c r="A1205">
        <v>2673</v>
      </c>
      <c r="B1205" t="s">
        <v>604</v>
      </c>
      <c r="C1205">
        <v>0</v>
      </c>
    </row>
    <row r="1206" spans="1:3" x14ac:dyDescent="0.25">
      <c r="A1206">
        <v>153</v>
      </c>
      <c r="B1206" t="s">
        <v>596</v>
      </c>
      <c r="C1206">
        <v>0</v>
      </c>
    </row>
    <row r="1207" spans="1:3" x14ac:dyDescent="0.25">
      <c r="A1207">
        <v>3691</v>
      </c>
      <c r="B1207" t="s">
        <v>404</v>
      </c>
      <c r="C1207">
        <v>0</v>
      </c>
    </row>
    <row r="1208" spans="1:3" x14ac:dyDescent="0.25">
      <c r="A1208">
        <v>4774</v>
      </c>
      <c r="B1208" t="s">
        <v>405</v>
      </c>
      <c r="C1208">
        <v>0</v>
      </c>
    </row>
    <row r="1209" spans="1:3" x14ac:dyDescent="0.25">
      <c r="A1209">
        <v>873</v>
      </c>
      <c r="B1209" t="s">
        <v>406</v>
      </c>
      <c r="C1209">
        <v>0</v>
      </c>
    </row>
    <row r="1210" spans="1:3" x14ac:dyDescent="0.25">
      <c r="A1210">
        <v>4778</v>
      </c>
      <c r="B1210" t="s">
        <v>407</v>
      </c>
      <c r="C1210">
        <v>0</v>
      </c>
    </row>
    <row r="1211" spans="1:3" x14ac:dyDescent="0.25">
      <c r="A1211">
        <v>4777</v>
      </c>
      <c r="B1211" t="s">
        <v>408</v>
      </c>
      <c r="C1211">
        <v>0</v>
      </c>
    </row>
    <row r="1212" spans="1:3" x14ac:dyDescent="0.25">
      <c r="A1212">
        <v>4776</v>
      </c>
      <c r="B1212" t="s">
        <v>409</v>
      </c>
      <c r="C1212">
        <v>0</v>
      </c>
    </row>
    <row r="1213" spans="1:3" x14ac:dyDescent="0.25">
      <c r="A1213">
        <v>4779</v>
      </c>
      <c r="B1213" t="s">
        <v>410</v>
      </c>
      <c r="C1213">
        <v>437166</v>
      </c>
    </row>
    <row r="1214" spans="1:3" x14ac:dyDescent="0.25">
      <c r="A1214">
        <v>4784</v>
      </c>
      <c r="B1214" t="s">
        <v>411</v>
      </c>
      <c r="C1214">
        <v>0</v>
      </c>
    </row>
    <row r="1215" spans="1:3" x14ac:dyDescent="0.25">
      <c r="A1215">
        <v>4785</v>
      </c>
      <c r="B1215" t="s">
        <v>412</v>
      </c>
      <c r="C1215">
        <v>0</v>
      </c>
    </row>
    <row r="1216" spans="1:3" x14ac:dyDescent="0.25">
      <c r="A1216">
        <v>333</v>
      </c>
      <c r="B1216" t="s">
        <v>597</v>
      </c>
      <c r="C1216">
        <v>0</v>
      </c>
    </row>
    <row r="1217" spans="1:3" x14ac:dyDescent="0.25">
      <c r="A1217">
        <v>4787</v>
      </c>
      <c r="B1217" t="s">
        <v>414</v>
      </c>
      <c r="C1217">
        <v>0</v>
      </c>
    </row>
    <row r="1218" spans="1:3" x14ac:dyDescent="0.25">
      <c r="A1218">
        <v>4773</v>
      </c>
      <c r="B1218" t="s">
        <v>415</v>
      </c>
      <c r="C1218">
        <v>0</v>
      </c>
    </row>
    <row r="1219" spans="1:3" x14ac:dyDescent="0.25">
      <c r="A1219">
        <v>4775</v>
      </c>
      <c r="B1219" t="s">
        <v>416</v>
      </c>
      <c r="C1219">
        <v>0</v>
      </c>
    </row>
    <row r="1220" spans="1:3" x14ac:dyDescent="0.25">
      <c r="A1220">
        <v>4788</v>
      </c>
      <c r="B1220" t="s">
        <v>417</v>
      </c>
      <c r="C1220">
        <v>0</v>
      </c>
    </row>
    <row r="1221" spans="1:3" x14ac:dyDescent="0.25">
      <c r="A1221">
        <v>4797</v>
      </c>
      <c r="B1221" t="s">
        <v>418</v>
      </c>
      <c r="C1221">
        <v>777176</v>
      </c>
    </row>
    <row r="1222" spans="1:3" x14ac:dyDescent="0.25">
      <c r="A1222">
        <v>4860</v>
      </c>
      <c r="B1222" t="s">
        <v>419</v>
      </c>
      <c r="C1222">
        <v>0</v>
      </c>
    </row>
    <row r="1223" spans="1:3" x14ac:dyDescent="0.25">
      <c r="A1223">
        <v>4869</v>
      </c>
      <c r="B1223" t="s">
        <v>420</v>
      </c>
      <c r="C1223">
        <v>393066</v>
      </c>
    </row>
    <row r="1224" spans="1:3" x14ac:dyDescent="0.25">
      <c r="A1224">
        <v>4878</v>
      </c>
      <c r="B1224" t="s">
        <v>421</v>
      </c>
      <c r="C1224">
        <v>0</v>
      </c>
    </row>
    <row r="1225" spans="1:3" x14ac:dyDescent="0.25">
      <c r="A1225">
        <v>4890</v>
      </c>
      <c r="B1225" t="s">
        <v>422</v>
      </c>
      <c r="C1225">
        <v>0</v>
      </c>
    </row>
    <row r="1226" spans="1:3" x14ac:dyDescent="0.25">
      <c r="A1226">
        <v>4905</v>
      </c>
      <c r="B1226" t="s">
        <v>423</v>
      </c>
      <c r="C1226">
        <v>0</v>
      </c>
    </row>
    <row r="1227" spans="1:3" x14ac:dyDescent="0.25">
      <c r="A1227">
        <v>4978</v>
      </c>
      <c r="B1227" t="s">
        <v>424</v>
      </c>
      <c r="C1227">
        <v>0</v>
      </c>
    </row>
    <row r="1228" spans="1:3" x14ac:dyDescent="0.25">
      <c r="A1228">
        <v>4995</v>
      </c>
      <c r="B1228" t="s">
        <v>425</v>
      </c>
      <c r="C1228">
        <v>0</v>
      </c>
    </row>
    <row r="1229" spans="1:3" x14ac:dyDescent="0.25">
      <c r="A1229">
        <v>5013</v>
      </c>
      <c r="B1229" t="s">
        <v>426</v>
      </c>
      <c r="C1229">
        <v>0</v>
      </c>
    </row>
    <row r="1230" spans="1:3" x14ac:dyDescent="0.25">
      <c r="A1230">
        <v>5049</v>
      </c>
      <c r="B1230" t="s">
        <v>427</v>
      </c>
      <c r="C1230">
        <v>1413593</v>
      </c>
    </row>
    <row r="1231" spans="1:3" x14ac:dyDescent="0.25">
      <c r="A1231">
        <v>5121</v>
      </c>
      <c r="B1231" t="s">
        <v>429</v>
      </c>
      <c r="C1231">
        <v>224574</v>
      </c>
    </row>
    <row r="1232" spans="1:3" x14ac:dyDescent="0.25">
      <c r="A1232">
        <v>5139</v>
      </c>
      <c r="B1232" t="s">
        <v>430</v>
      </c>
      <c r="C1232">
        <v>0</v>
      </c>
    </row>
    <row r="1233" spans="1:3" x14ac:dyDescent="0.25">
      <c r="A1233">
        <v>5319</v>
      </c>
      <c r="B1233" t="s">
        <v>614</v>
      </c>
      <c r="C1233">
        <v>0</v>
      </c>
    </row>
    <row r="1234" spans="1:3" x14ac:dyDescent="0.25">
      <c r="A1234">
        <v>5163</v>
      </c>
      <c r="B1234" t="s">
        <v>431</v>
      </c>
      <c r="C1234">
        <v>0</v>
      </c>
    </row>
    <row r="1235" spans="1:3" x14ac:dyDescent="0.25">
      <c r="A1235">
        <v>5166</v>
      </c>
      <c r="B1235" t="s">
        <v>432</v>
      </c>
      <c r="C1235">
        <v>658929</v>
      </c>
    </row>
    <row r="1236" spans="1:3" x14ac:dyDescent="0.25">
      <c r="A1236">
        <v>5184</v>
      </c>
      <c r="B1236" t="s">
        <v>433</v>
      </c>
      <c r="C1236">
        <v>0</v>
      </c>
    </row>
    <row r="1237" spans="1:3" x14ac:dyDescent="0.25">
      <c r="A1237">
        <v>5250</v>
      </c>
      <c r="B1237" t="s">
        <v>434</v>
      </c>
      <c r="C1237">
        <v>0</v>
      </c>
    </row>
    <row r="1238" spans="1:3" x14ac:dyDescent="0.25">
      <c r="A1238">
        <v>5256</v>
      </c>
      <c r="B1238" t="s">
        <v>435</v>
      </c>
      <c r="C1238">
        <v>0</v>
      </c>
    </row>
    <row r="1239" spans="1:3" x14ac:dyDescent="0.25">
      <c r="A1239">
        <v>5283</v>
      </c>
      <c r="B1239" t="s">
        <v>613</v>
      </c>
      <c r="C1239">
        <v>0</v>
      </c>
    </row>
    <row r="1240" spans="1:3" x14ac:dyDescent="0.25">
      <c r="A1240">
        <v>5310</v>
      </c>
      <c r="B1240" t="s">
        <v>437</v>
      </c>
      <c r="C1240">
        <v>0</v>
      </c>
    </row>
    <row r="1241" spans="1:3" x14ac:dyDescent="0.25">
      <c r="A1241">
        <v>5323</v>
      </c>
      <c r="B1241" t="s">
        <v>438</v>
      </c>
      <c r="C1241">
        <v>0</v>
      </c>
    </row>
    <row r="1242" spans="1:3" x14ac:dyDescent="0.25">
      <c r="A1242">
        <v>5328</v>
      </c>
      <c r="B1242" t="s">
        <v>439</v>
      </c>
      <c r="C1242">
        <v>0</v>
      </c>
    </row>
    <row r="1243" spans="1:3" x14ac:dyDescent="0.25">
      <c r="A1243">
        <v>5463</v>
      </c>
      <c r="B1243" t="s">
        <v>440</v>
      </c>
      <c r="C1243">
        <v>0</v>
      </c>
    </row>
    <row r="1244" spans="1:3" x14ac:dyDescent="0.25">
      <c r="A1244">
        <v>5486</v>
      </c>
      <c r="B1244" t="s">
        <v>441</v>
      </c>
      <c r="C1244">
        <v>0</v>
      </c>
    </row>
    <row r="1245" spans="1:3" x14ac:dyDescent="0.25">
      <c r="A1245">
        <v>5508</v>
      </c>
      <c r="B1245" t="s">
        <v>442</v>
      </c>
      <c r="C1245">
        <v>0</v>
      </c>
    </row>
    <row r="1246" spans="1:3" x14ac:dyDescent="0.25">
      <c r="A1246">
        <v>1975</v>
      </c>
      <c r="B1246" t="s">
        <v>443</v>
      </c>
      <c r="C1246">
        <v>0</v>
      </c>
    </row>
    <row r="1247" spans="1:3" x14ac:dyDescent="0.25">
      <c r="A1247">
        <v>4824</v>
      </c>
      <c r="B1247" t="s">
        <v>444</v>
      </c>
      <c r="C1247">
        <v>0</v>
      </c>
    </row>
    <row r="1248" spans="1:3" x14ac:dyDescent="0.25">
      <c r="A1248">
        <v>5607</v>
      </c>
      <c r="B1248" t="s">
        <v>445</v>
      </c>
      <c r="C1248">
        <v>208515</v>
      </c>
    </row>
    <row r="1249" spans="1:3" x14ac:dyDescent="0.25">
      <c r="A1249">
        <v>5643</v>
      </c>
      <c r="B1249" t="s">
        <v>446</v>
      </c>
      <c r="C1249">
        <v>301810</v>
      </c>
    </row>
    <row r="1250" spans="1:3" x14ac:dyDescent="0.25">
      <c r="A1250">
        <v>5697</v>
      </c>
      <c r="B1250" t="s">
        <v>447</v>
      </c>
      <c r="C1250">
        <v>0</v>
      </c>
    </row>
    <row r="1251" spans="1:3" x14ac:dyDescent="0.25">
      <c r="A1251">
        <v>5724</v>
      </c>
      <c r="B1251" t="s">
        <v>448</v>
      </c>
      <c r="C1251">
        <v>0</v>
      </c>
    </row>
    <row r="1252" spans="1:3" x14ac:dyDescent="0.25">
      <c r="A1252">
        <v>5805</v>
      </c>
      <c r="B1252" t="s">
        <v>449</v>
      </c>
      <c r="C1252">
        <v>358941</v>
      </c>
    </row>
    <row r="1253" spans="1:3" x14ac:dyDescent="0.25">
      <c r="A1253">
        <v>5823</v>
      </c>
      <c r="B1253" t="s">
        <v>450</v>
      </c>
      <c r="C1253">
        <v>0</v>
      </c>
    </row>
    <row r="1254" spans="1:3" x14ac:dyDescent="0.25">
      <c r="A1254">
        <v>5832</v>
      </c>
      <c r="B1254" t="s">
        <v>451</v>
      </c>
      <c r="C1254">
        <v>0</v>
      </c>
    </row>
    <row r="1255" spans="1:3" x14ac:dyDescent="0.25">
      <c r="A1255">
        <v>5877</v>
      </c>
      <c r="B1255" t="s">
        <v>452</v>
      </c>
      <c r="C1255">
        <v>0</v>
      </c>
    </row>
    <row r="1256" spans="1:3" x14ac:dyDescent="0.25">
      <c r="A1256">
        <v>5895</v>
      </c>
      <c r="B1256" t="s">
        <v>453</v>
      </c>
      <c r="C1256">
        <v>0</v>
      </c>
    </row>
    <row r="1257" spans="1:3" x14ac:dyDescent="0.25">
      <c r="A1257">
        <v>5949</v>
      </c>
      <c r="B1257" t="s">
        <v>454</v>
      </c>
      <c r="C1257">
        <v>0</v>
      </c>
    </row>
    <row r="1258" spans="1:3" x14ac:dyDescent="0.25">
      <c r="A1258">
        <v>5976</v>
      </c>
      <c r="B1258" t="s">
        <v>455</v>
      </c>
      <c r="C1258">
        <v>0</v>
      </c>
    </row>
    <row r="1259" spans="1:3" x14ac:dyDescent="0.25">
      <c r="A1259">
        <v>5994</v>
      </c>
      <c r="B1259" t="s">
        <v>456</v>
      </c>
      <c r="C1259">
        <v>0</v>
      </c>
    </row>
    <row r="1260" spans="1:3" x14ac:dyDescent="0.25">
      <c r="A1260">
        <v>6003</v>
      </c>
      <c r="B1260" t="s">
        <v>457</v>
      </c>
      <c r="C1260">
        <v>0</v>
      </c>
    </row>
    <row r="1261" spans="1:3" x14ac:dyDescent="0.25">
      <c r="A1261">
        <v>6012</v>
      </c>
      <c r="B1261" t="s">
        <v>458</v>
      </c>
      <c r="C1261">
        <v>0</v>
      </c>
    </row>
    <row r="1262" spans="1:3" x14ac:dyDescent="0.25">
      <c r="A1262">
        <v>6030</v>
      </c>
      <c r="B1262" t="s">
        <v>459</v>
      </c>
      <c r="C1262">
        <v>0</v>
      </c>
    </row>
    <row r="1263" spans="1:3" x14ac:dyDescent="0.25">
      <c r="A1263">
        <v>6048</v>
      </c>
      <c r="B1263" t="s">
        <v>460</v>
      </c>
      <c r="C1263">
        <v>0</v>
      </c>
    </row>
    <row r="1264" spans="1:3" x14ac:dyDescent="0.25">
      <c r="A1264">
        <v>6039</v>
      </c>
      <c r="B1264" t="s">
        <v>461</v>
      </c>
      <c r="C1264">
        <v>4364306</v>
      </c>
    </row>
    <row r="1265" spans="1:3" x14ac:dyDescent="0.25">
      <c r="A1265">
        <v>6093</v>
      </c>
      <c r="B1265" t="s">
        <v>462</v>
      </c>
      <c r="C1265">
        <v>0</v>
      </c>
    </row>
    <row r="1266" spans="1:3" x14ac:dyDescent="0.25">
      <c r="A1266">
        <v>6091</v>
      </c>
      <c r="B1266" t="s">
        <v>463</v>
      </c>
      <c r="C1266">
        <v>0</v>
      </c>
    </row>
    <row r="1267" spans="1:3" x14ac:dyDescent="0.25">
      <c r="A1267">
        <v>6095</v>
      </c>
      <c r="B1267" t="s">
        <v>465</v>
      </c>
      <c r="C1267">
        <v>0</v>
      </c>
    </row>
    <row r="1268" spans="1:3" x14ac:dyDescent="0.25">
      <c r="A1268">
        <v>5157</v>
      </c>
      <c r="B1268" t="s">
        <v>466</v>
      </c>
      <c r="C1268">
        <v>0</v>
      </c>
    </row>
    <row r="1269" spans="1:3" x14ac:dyDescent="0.25">
      <c r="A1269">
        <v>6097</v>
      </c>
      <c r="B1269" t="s">
        <v>467</v>
      </c>
      <c r="C1269">
        <v>0</v>
      </c>
    </row>
    <row r="1270" spans="1:3" x14ac:dyDescent="0.25">
      <c r="A1270">
        <v>6098</v>
      </c>
      <c r="B1270" t="s">
        <v>468</v>
      </c>
      <c r="C1270">
        <v>0</v>
      </c>
    </row>
    <row r="1271" spans="1:3" x14ac:dyDescent="0.25">
      <c r="A1271">
        <v>6100</v>
      </c>
      <c r="B1271" t="s">
        <v>469</v>
      </c>
      <c r="C1271">
        <v>0</v>
      </c>
    </row>
    <row r="1272" spans="1:3" x14ac:dyDescent="0.25">
      <c r="A1272">
        <v>6101</v>
      </c>
      <c r="B1272" t="s">
        <v>470</v>
      </c>
      <c r="C1272">
        <v>2043431</v>
      </c>
    </row>
    <row r="1273" spans="1:3" x14ac:dyDescent="0.25">
      <c r="A1273">
        <v>6094</v>
      </c>
      <c r="B1273" t="s">
        <v>471</v>
      </c>
      <c r="C1273">
        <v>0</v>
      </c>
    </row>
    <row r="1274" spans="1:3" x14ac:dyDescent="0.25">
      <c r="A1274">
        <v>6096</v>
      </c>
      <c r="B1274" t="s">
        <v>472</v>
      </c>
      <c r="C1274">
        <v>0</v>
      </c>
    </row>
    <row r="1275" spans="1:3" x14ac:dyDescent="0.25">
      <c r="A1275">
        <v>6102</v>
      </c>
      <c r="B1275" t="s">
        <v>473</v>
      </c>
      <c r="C1275">
        <v>0</v>
      </c>
    </row>
    <row r="1276" spans="1:3" x14ac:dyDescent="0.25">
      <c r="A1276">
        <v>6120</v>
      </c>
      <c r="B1276" t="s">
        <v>474</v>
      </c>
      <c r="C1276">
        <v>0</v>
      </c>
    </row>
    <row r="1277" spans="1:3" x14ac:dyDescent="0.25">
      <c r="A1277">
        <v>6138</v>
      </c>
      <c r="B1277" t="s">
        <v>475</v>
      </c>
      <c r="C1277">
        <v>0</v>
      </c>
    </row>
    <row r="1278" spans="1:3" x14ac:dyDescent="0.25">
      <c r="A1278">
        <v>5751</v>
      </c>
      <c r="B1278" t="s">
        <v>476</v>
      </c>
      <c r="C1278">
        <v>0</v>
      </c>
    </row>
    <row r="1279" spans="1:3" x14ac:dyDescent="0.25">
      <c r="A1279">
        <v>6165</v>
      </c>
      <c r="B1279" t="s">
        <v>477</v>
      </c>
      <c r="C1279">
        <v>0</v>
      </c>
    </row>
    <row r="1280" spans="1:3" x14ac:dyDescent="0.25">
      <c r="A1280">
        <v>6175</v>
      </c>
      <c r="B1280" t="s">
        <v>478</v>
      </c>
      <c r="C1280">
        <v>0</v>
      </c>
    </row>
    <row r="1281" spans="1:3" x14ac:dyDescent="0.25">
      <c r="A1281">
        <v>6219</v>
      </c>
      <c r="B1281" t="s">
        <v>479</v>
      </c>
      <c r="C1281">
        <v>0</v>
      </c>
    </row>
    <row r="1282" spans="1:3" x14ac:dyDescent="0.25">
      <c r="A1282">
        <v>6246</v>
      </c>
      <c r="B1282" t="s">
        <v>480</v>
      </c>
      <c r="C1282">
        <v>0</v>
      </c>
    </row>
    <row r="1283" spans="1:3" x14ac:dyDescent="0.25">
      <c r="A1283">
        <v>6273</v>
      </c>
      <c r="B1283" t="s">
        <v>481</v>
      </c>
      <c r="C1283">
        <v>0</v>
      </c>
    </row>
    <row r="1284" spans="1:3" x14ac:dyDescent="0.25">
      <c r="A1284">
        <v>6408</v>
      </c>
      <c r="B1284" t="s">
        <v>482</v>
      </c>
      <c r="C1284">
        <v>0</v>
      </c>
    </row>
    <row r="1285" spans="1:3" x14ac:dyDescent="0.25">
      <c r="A1285">
        <v>6453</v>
      </c>
      <c r="B1285" t="s">
        <v>483</v>
      </c>
      <c r="C1285">
        <v>0</v>
      </c>
    </row>
    <row r="1286" spans="1:3" x14ac:dyDescent="0.25">
      <c r="A1286">
        <v>6460</v>
      </c>
      <c r="B1286" t="s">
        <v>484</v>
      </c>
      <c r="C1286">
        <v>0</v>
      </c>
    </row>
    <row r="1287" spans="1:3" x14ac:dyDescent="0.25">
      <c r="A1287">
        <v>6462</v>
      </c>
      <c r="B1287" t="s">
        <v>485</v>
      </c>
      <c r="C1287">
        <v>0</v>
      </c>
    </row>
    <row r="1288" spans="1:3" x14ac:dyDescent="0.25">
      <c r="A1288">
        <v>6471</v>
      </c>
      <c r="B1288" t="s">
        <v>486</v>
      </c>
      <c r="C1288">
        <v>0</v>
      </c>
    </row>
    <row r="1289" spans="1:3" x14ac:dyDescent="0.25">
      <c r="A1289">
        <v>6509</v>
      </c>
      <c r="B1289" t="s">
        <v>487</v>
      </c>
      <c r="C1289">
        <v>0</v>
      </c>
    </row>
    <row r="1290" spans="1:3" x14ac:dyDescent="0.25">
      <c r="A1290">
        <v>6512</v>
      </c>
      <c r="B1290" t="s">
        <v>488</v>
      </c>
      <c r="C1290">
        <v>0</v>
      </c>
    </row>
    <row r="1291" spans="1:3" x14ac:dyDescent="0.25">
      <c r="A1291">
        <v>6516</v>
      </c>
      <c r="B1291" t="s">
        <v>489</v>
      </c>
      <c r="C1291">
        <v>54044</v>
      </c>
    </row>
    <row r="1292" spans="1:3" x14ac:dyDescent="0.25">
      <c r="A1292">
        <v>6534</v>
      </c>
      <c r="B1292" t="s">
        <v>490</v>
      </c>
      <c r="C1292">
        <v>0</v>
      </c>
    </row>
    <row r="1293" spans="1:3" x14ac:dyDescent="0.25">
      <c r="A1293">
        <v>1935</v>
      </c>
      <c r="B1293" t="s">
        <v>491</v>
      </c>
      <c r="C1293">
        <v>0</v>
      </c>
    </row>
    <row r="1294" spans="1:3" x14ac:dyDescent="0.25">
      <c r="A1294">
        <v>6561</v>
      </c>
      <c r="B1294" t="s">
        <v>492</v>
      </c>
      <c r="C1294">
        <v>0</v>
      </c>
    </row>
    <row r="1295" spans="1:3" x14ac:dyDescent="0.25">
      <c r="A1295">
        <v>6579</v>
      </c>
      <c r="B1295" t="s">
        <v>493</v>
      </c>
      <c r="C1295">
        <v>0</v>
      </c>
    </row>
    <row r="1296" spans="1:3" x14ac:dyDescent="0.25">
      <c r="A1296">
        <v>6591</v>
      </c>
      <c r="B1296" t="s">
        <v>494</v>
      </c>
      <c r="C1296">
        <v>0</v>
      </c>
    </row>
    <row r="1297" spans="1:3" x14ac:dyDescent="0.25">
      <c r="A1297">
        <v>6592</v>
      </c>
      <c r="B1297" t="s">
        <v>615</v>
      </c>
      <c r="C1297">
        <v>0</v>
      </c>
    </row>
    <row r="1298" spans="1:3" x14ac:dyDescent="0.25">
      <c r="A1298">
        <v>6615</v>
      </c>
      <c r="B1298" t="s">
        <v>496</v>
      </c>
      <c r="C1298">
        <v>178498</v>
      </c>
    </row>
    <row r="1299" spans="1:3" x14ac:dyDescent="0.25">
      <c r="A1299">
        <v>6651</v>
      </c>
      <c r="B1299" t="s">
        <v>497</v>
      </c>
      <c r="C1299">
        <v>0</v>
      </c>
    </row>
    <row r="1300" spans="1:3" x14ac:dyDescent="0.25">
      <c r="A1300">
        <v>6660</v>
      </c>
      <c r="B1300" t="s">
        <v>498</v>
      </c>
      <c r="C1300">
        <v>0</v>
      </c>
    </row>
    <row r="1301" spans="1:3" x14ac:dyDescent="0.25">
      <c r="A1301">
        <v>6700</v>
      </c>
      <c r="B1301" t="s">
        <v>499</v>
      </c>
      <c r="C1301">
        <v>0</v>
      </c>
    </row>
    <row r="1302" spans="1:3" x14ac:dyDescent="0.25">
      <c r="A1302">
        <v>6750</v>
      </c>
      <c r="B1302" t="s">
        <v>500</v>
      </c>
      <c r="C1302">
        <v>0</v>
      </c>
    </row>
    <row r="1303" spans="1:3" x14ac:dyDescent="0.25">
      <c r="A1303">
        <v>6759</v>
      </c>
      <c r="B1303" t="s">
        <v>501</v>
      </c>
      <c r="C1303">
        <v>0</v>
      </c>
    </row>
    <row r="1304" spans="1:3" x14ac:dyDescent="0.25">
      <c r="A1304">
        <v>6762</v>
      </c>
      <c r="B1304" t="s">
        <v>502</v>
      </c>
      <c r="C1304">
        <v>0</v>
      </c>
    </row>
    <row r="1305" spans="1:3" x14ac:dyDescent="0.25">
      <c r="A1305">
        <v>6768</v>
      </c>
      <c r="B1305" t="s">
        <v>503</v>
      </c>
      <c r="C1305">
        <v>0</v>
      </c>
    </row>
    <row r="1306" spans="1:3" x14ac:dyDescent="0.25">
      <c r="A1306">
        <v>6795</v>
      </c>
      <c r="B1306" t="s">
        <v>504</v>
      </c>
      <c r="C1306">
        <v>3394642</v>
      </c>
    </row>
    <row r="1307" spans="1:3" x14ac:dyDescent="0.25">
      <c r="A1307">
        <v>6822</v>
      </c>
      <c r="B1307" t="s">
        <v>505</v>
      </c>
      <c r="C1307">
        <v>0</v>
      </c>
    </row>
    <row r="1308" spans="1:3" x14ac:dyDescent="0.25">
      <c r="A1308">
        <v>6840</v>
      </c>
      <c r="B1308" t="s">
        <v>506</v>
      </c>
      <c r="C1308">
        <v>0</v>
      </c>
    </row>
    <row r="1309" spans="1:3" x14ac:dyDescent="0.25">
      <c r="A1309">
        <v>6854</v>
      </c>
      <c r="B1309" t="s">
        <v>507</v>
      </c>
      <c r="C1309">
        <v>0</v>
      </c>
    </row>
    <row r="1310" spans="1:3" x14ac:dyDescent="0.25">
      <c r="A1310">
        <v>6867</v>
      </c>
      <c r="B1310" t="s">
        <v>508</v>
      </c>
      <c r="C1310">
        <v>0</v>
      </c>
    </row>
    <row r="1311" spans="1:3" x14ac:dyDescent="0.25">
      <c r="A1311">
        <v>6921</v>
      </c>
      <c r="B1311" t="s">
        <v>509</v>
      </c>
      <c r="C1311">
        <v>0</v>
      </c>
    </row>
    <row r="1312" spans="1:3" x14ac:dyDescent="0.25">
      <c r="A1312">
        <v>6930</v>
      </c>
      <c r="B1312" t="s">
        <v>510</v>
      </c>
      <c r="C1312">
        <v>0</v>
      </c>
    </row>
    <row r="1313" spans="1:3" x14ac:dyDescent="0.25">
      <c r="A1313">
        <v>6937</v>
      </c>
      <c r="B1313" t="s">
        <v>511</v>
      </c>
      <c r="C1313">
        <v>0</v>
      </c>
    </row>
    <row r="1314" spans="1:3" x14ac:dyDescent="0.25">
      <c r="A1314">
        <v>6943</v>
      </c>
      <c r="B1314" t="s">
        <v>512</v>
      </c>
      <c r="C1314">
        <v>0</v>
      </c>
    </row>
    <row r="1315" spans="1:3" x14ac:dyDescent="0.25">
      <c r="A1315">
        <v>6264</v>
      </c>
      <c r="B1315" t="s">
        <v>513</v>
      </c>
      <c r="C1315">
        <v>0</v>
      </c>
    </row>
    <row r="1316" spans="1:3" x14ac:dyDescent="0.25">
      <c r="A1316">
        <v>6950</v>
      </c>
      <c r="B1316" t="s">
        <v>514</v>
      </c>
      <c r="C1316">
        <v>0</v>
      </c>
    </row>
    <row r="1317" spans="1:3" x14ac:dyDescent="0.25">
      <c r="A1317">
        <v>6957</v>
      </c>
      <c r="B1317" t="s">
        <v>515</v>
      </c>
      <c r="C1317">
        <v>2796180</v>
      </c>
    </row>
    <row r="1318" spans="1:3" x14ac:dyDescent="0.25">
      <c r="A1318">
        <v>5922</v>
      </c>
      <c r="B1318" t="s">
        <v>516</v>
      </c>
      <c r="C1318">
        <v>0</v>
      </c>
    </row>
    <row r="1319" spans="1:3" x14ac:dyDescent="0.25">
      <c r="A1319">
        <v>819</v>
      </c>
      <c r="B1319" t="s">
        <v>517</v>
      </c>
      <c r="C1319">
        <v>0</v>
      </c>
    </row>
    <row r="1320" spans="1:3" x14ac:dyDescent="0.25">
      <c r="A1320">
        <v>6969</v>
      </c>
      <c r="B1320" t="s">
        <v>518</v>
      </c>
      <c r="C1320">
        <v>0</v>
      </c>
    </row>
    <row r="1321" spans="1:3" x14ac:dyDescent="0.25">
      <c r="A1321">
        <v>6975</v>
      </c>
      <c r="B1321" t="s">
        <v>519</v>
      </c>
      <c r="C1321">
        <v>0</v>
      </c>
    </row>
    <row r="1322" spans="1:3" x14ac:dyDescent="0.25">
      <c r="A1322">
        <v>6983</v>
      </c>
      <c r="B1322" t="s">
        <v>520</v>
      </c>
      <c r="C1322">
        <v>0</v>
      </c>
    </row>
    <row r="1323" spans="1:3" x14ac:dyDescent="0.25">
      <c r="A1323">
        <v>6985</v>
      </c>
      <c r="B1323" t="s">
        <v>521</v>
      </c>
      <c r="C1323">
        <v>0</v>
      </c>
    </row>
    <row r="1324" spans="1:3" x14ac:dyDescent="0.25">
      <c r="A1324">
        <v>6987</v>
      </c>
      <c r="B1324" t="s">
        <v>522</v>
      </c>
      <c r="C1324">
        <v>0</v>
      </c>
    </row>
    <row r="1325" spans="1:3" x14ac:dyDescent="0.25">
      <c r="A1325">
        <v>6990</v>
      </c>
      <c r="B1325" t="s">
        <v>523</v>
      </c>
      <c r="C1325">
        <v>0</v>
      </c>
    </row>
    <row r="1326" spans="1:3" x14ac:dyDescent="0.25">
      <c r="A1326">
        <v>6961</v>
      </c>
      <c r="B1326" t="s">
        <v>524</v>
      </c>
      <c r="C1326">
        <v>910895</v>
      </c>
    </row>
    <row r="1327" spans="1:3" x14ac:dyDescent="0.25">
      <c r="A1327">
        <v>6992</v>
      </c>
      <c r="B1327" t="s">
        <v>525</v>
      </c>
      <c r="C1327">
        <v>0</v>
      </c>
    </row>
    <row r="1328" spans="1:3" x14ac:dyDescent="0.25">
      <c r="A1328">
        <v>7002</v>
      </c>
      <c r="B1328" t="s">
        <v>526</v>
      </c>
      <c r="C1328">
        <v>0</v>
      </c>
    </row>
    <row r="1329" spans="1:3" x14ac:dyDescent="0.25">
      <c r="A1329">
        <v>7029</v>
      </c>
      <c r="B1329" t="s">
        <v>527</v>
      </c>
      <c r="C1329">
        <v>0</v>
      </c>
    </row>
    <row r="1330" spans="1:3" x14ac:dyDescent="0.25">
      <c r="A1330">
        <v>7038</v>
      </c>
      <c r="B1330" t="s">
        <v>528</v>
      </c>
      <c r="C1330">
        <v>0</v>
      </c>
    </row>
    <row r="1331" spans="1:3" x14ac:dyDescent="0.25">
      <c r="A1331">
        <v>7047</v>
      </c>
      <c r="B1331" t="s">
        <v>529</v>
      </c>
      <c r="C1331">
        <v>0</v>
      </c>
    </row>
    <row r="1332" spans="1:3" x14ac:dyDescent="0.25">
      <c r="A1332">
        <v>7056</v>
      </c>
      <c r="B1332" t="s">
        <v>530</v>
      </c>
      <c r="C1332">
        <v>529595</v>
      </c>
    </row>
    <row r="1333" spans="1:3" x14ac:dyDescent="0.25">
      <c r="A1333">
        <v>7092</v>
      </c>
      <c r="B1333" t="s">
        <v>531</v>
      </c>
      <c r="C1333">
        <v>0</v>
      </c>
    </row>
    <row r="1334" spans="1:3" x14ac:dyDescent="0.25">
      <c r="A1334">
        <v>7098</v>
      </c>
      <c r="B1334" t="s">
        <v>532</v>
      </c>
      <c r="C1334">
        <v>0</v>
      </c>
    </row>
    <row r="1335" spans="1:3" x14ac:dyDescent="0.25">
      <c r="A1335">
        <v>7110</v>
      </c>
      <c r="B1335" t="s">
        <v>533</v>
      </c>
      <c r="C133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AM500"/>
  <sheetViews>
    <sheetView workbookViewId="0"/>
  </sheetViews>
  <sheetFormatPr defaultRowHeight="15" x14ac:dyDescent="0.25"/>
  <sheetData>
    <row r="2" spans="21:39" x14ac:dyDescent="0.25">
      <c r="U2" t="s">
        <v>1845</v>
      </c>
      <c r="V2" t="s">
        <v>1844</v>
      </c>
      <c r="W2" t="s">
        <v>1843</v>
      </c>
      <c r="X2" t="s">
        <v>1840</v>
      </c>
      <c r="Y2" t="s">
        <v>1841</v>
      </c>
      <c r="Z2" t="s">
        <v>1832</v>
      </c>
      <c r="AA2" s="24" t="s">
        <v>1832</v>
      </c>
      <c r="AB2" t="s">
        <v>1878</v>
      </c>
      <c r="AC2" s="53" t="s">
        <v>1833</v>
      </c>
      <c r="AD2" s="53" t="s">
        <v>1834</v>
      </c>
      <c r="AE2" s="53" t="s">
        <v>536</v>
      </c>
      <c r="AF2" s="53" t="s">
        <v>537</v>
      </c>
      <c r="AG2" s="53" t="s">
        <v>538</v>
      </c>
      <c r="AH2" s="53" t="s">
        <v>539</v>
      </c>
      <c r="AI2" s="53" t="s">
        <v>540</v>
      </c>
      <c r="AJ2" s="53" t="s">
        <v>541</v>
      </c>
      <c r="AK2" s="53" t="s">
        <v>542</v>
      </c>
      <c r="AL2" s="53" t="s">
        <v>1835</v>
      </c>
      <c r="AM2" s="53" t="s">
        <v>1836</v>
      </c>
    </row>
    <row r="3" spans="21:39" x14ac:dyDescent="0.25">
      <c r="U3" s="449" t="str">
        <f>IF(AB3="","",LEFT(W3,2)&amp;"00")</f>
        <v>1100</v>
      </c>
      <c r="V3" s="449" t="str">
        <f>IF(W3="","",IF(AND(W3&gt;"1109",W3&lt;"1172"),"1",IF(OR(W3="3111",W3="3113",W3="3117",W3="3204",W3="3214",W3="3216",W3="3373",W3="3376",W3="3803"),"1",IF(LEFT(W3,1)="1",IF(OR(LEFT(W3,2)="10",LEFT(W3,2)="12",LEFT(W3,2)="16",LEFT(W3,2)="18",LEFT(W3,2)="19"),"19",LEFT(W3,2)),LEFT(W3,1)&amp;"000"))))</f>
        <v>1</v>
      </c>
      <c r="W3" s="449" t="str">
        <f>LEFT(AB3,4)</f>
        <v>1111</v>
      </c>
      <c r="X3" s="449" t="str">
        <f>IF(Z3="","",IF(OR(Z3="21",Z3="22",Z3="36",Z3="61",Z3="24"),Z3,LEFT(Z3,1)&amp;"0"))</f>
        <v>10</v>
      </c>
      <c r="Y3" s="449" t="str">
        <f>IF(AB3="","",IF(OR(LEFT(AB3,1)="1",LEFT(AB3,1)="2",LEFT(AB3,1)="3",LEFT(AB3,1)="4"),LEFT(AB3,1)&amp;"000","9000"))</f>
        <v>1000</v>
      </c>
      <c r="Z3" s="449" t="str">
        <f>LEFT(AA3,2)</f>
        <v>10</v>
      </c>
      <c r="AA3" t="s">
        <v>1857</v>
      </c>
      <c r="AB3" t="s">
        <v>1879</v>
      </c>
      <c r="AC3">
        <v>1867044.89</v>
      </c>
      <c r="AD3">
        <v>1893576.23</v>
      </c>
      <c r="AE3">
        <v>1961803.02</v>
      </c>
      <c r="AF3">
        <v>2276985.81</v>
      </c>
      <c r="AG3">
        <v>2298900.8199999998</v>
      </c>
      <c r="AH3">
        <v>2717786</v>
      </c>
      <c r="AI3">
        <v>2853517</v>
      </c>
      <c r="AJ3">
        <v>2953781</v>
      </c>
      <c r="AK3">
        <v>3070779</v>
      </c>
      <c r="AL3">
        <v>3177572</v>
      </c>
      <c r="AM3">
        <v>3295238</v>
      </c>
    </row>
    <row r="4" spans="21:39" x14ac:dyDescent="0.25">
      <c r="U4" s="449" t="str">
        <f t="shared" ref="U4:U67" si="0">IF(AB4="","",LEFT(W4,2)&amp;"00")</f>
        <v>1100</v>
      </c>
      <c r="V4" s="449" t="str">
        <f t="shared" ref="V4:V67" si="1">IF(W4="","",IF(AND(W4&gt;"1109",W4&lt;"1172"),"1",IF(OR(W4="3111",W4="3113",W4="3117",W4="3204",W4="3214",W4="3216",W4="3373",W4="3376",W4="3803"),"1",IF(LEFT(W4,1)="1",IF(OR(LEFT(W4,2)="10",LEFT(W4,2)="12",LEFT(W4,2)="16",LEFT(W4,2)="18",LEFT(W4,2)="19"),"19",LEFT(W4,2)),LEFT(W4,1)&amp;"000"))))</f>
        <v>1</v>
      </c>
      <c r="W4" s="449" t="str">
        <f t="shared" ref="W4:W67" si="2">LEFT(AB4,4)</f>
        <v>1114</v>
      </c>
      <c r="X4" s="449" t="str">
        <f t="shared" ref="X4:X31" si="3">IF(Z4="","",IF(OR(Z4="21",Z4="22",Z4="36",Z4="61",Z4="24"),Z4,LEFT(Z4,1)&amp;"0"))</f>
        <v>10</v>
      </c>
      <c r="Y4" s="449" t="str">
        <f t="shared" ref="Y4:Y67" si="4">IF(AB4="","",IF(OR(LEFT(AB4,1)="1",LEFT(AB4,1)="2",LEFT(AB4,1)="3",LEFT(AB4,1)="4"),LEFT(AB4,1)&amp;"000","9000"))</f>
        <v>1000</v>
      </c>
      <c r="Z4" s="449" t="str">
        <f t="shared" ref="Z4:Z67" si="5">LEFT(AA4,2)</f>
        <v>10</v>
      </c>
      <c r="AA4" t="s">
        <v>1857</v>
      </c>
      <c r="AB4" t="s">
        <v>1880</v>
      </c>
      <c r="AC4">
        <v>0</v>
      </c>
      <c r="AD4">
        <v>74014.289999999994</v>
      </c>
      <c r="AE4">
        <v>274014.51</v>
      </c>
      <c r="AF4">
        <v>243756.48</v>
      </c>
      <c r="AG4">
        <v>259575.5</v>
      </c>
      <c r="AH4">
        <v>49848</v>
      </c>
      <c r="AI4">
        <v>46442</v>
      </c>
      <c r="AJ4">
        <v>43786</v>
      </c>
      <c r="AK4">
        <v>38297</v>
      </c>
      <c r="AL4">
        <v>31961</v>
      </c>
      <c r="AM4">
        <v>27898</v>
      </c>
    </row>
    <row r="5" spans="21:39" x14ac:dyDescent="0.25">
      <c r="U5" s="449" t="str">
        <f t="shared" si="0"/>
        <v>1100</v>
      </c>
      <c r="V5" s="449" t="str">
        <f t="shared" si="1"/>
        <v>1</v>
      </c>
      <c r="W5" s="449" t="str">
        <f t="shared" si="2"/>
        <v>1130</v>
      </c>
      <c r="X5" s="449" t="str">
        <f t="shared" si="3"/>
        <v>10</v>
      </c>
      <c r="Y5" s="449" t="str">
        <f t="shared" si="4"/>
        <v>1000</v>
      </c>
      <c r="Z5" s="449" t="str">
        <f t="shared" si="5"/>
        <v>10</v>
      </c>
      <c r="AA5" t="s">
        <v>1857</v>
      </c>
      <c r="AB5" t="s">
        <v>1881</v>
      </c>
      <c r="AC5">
        <v>333063</v>
      </c>
      <c r="AD5">
        <v>307726</v>
      </c>
      <c r="AE5">
        <v>213569</v>
      </c>
      <c r="AF5">
        <v>28172</v>
      </c>
      <c r="AG5">
        <v>27536</v>
      </c>
      <c r="AH5">
        <v>247886</v>
      </c>
      <c r="AI5">
        <v>247886</v>
      </c>
      <c r="AJ5">
        <v>250365</v>
      </c>
      <c r="AK5">
        <v>252869</v>
      </c>
      <c r="AL5">
        <v>255397</v>
      </c>
      <c r="AM5">
        <v>257951</v>
      </c>
    </row>
    <row r="6" spans="21:39" x14ac:dyDescent="0.25">
      <c r="U6" s="449" t="str">
        <f t="shared" si="0"/>
        <v>1100</v>
      </c>
      <c r="V6" s="449" t="str">
        <f t="shared" si="1"/>
        <v>1</v>
      </c>
      <c r="W6" s="449" t="str">
        <f t="shared" si="2"/>
        <v>1171</v>
      </c>
      <c r="X6" s="449" t="str">
        <f t="shared" si="3"/>
        <v>10</v>
      </c>
      <c r="Y6" s="449" t="str">
        <f t="shared" si="4"/>
        <v>1000</v>
      </c>
      <c r="Z6" s="449" t="str">
        <f t="shared" si="5"/>
        <v>10</v>
      </c>
      <c r="AA6" t="s">
        <v>1857</v>
      </c>
      <c r="AB6" t="s">
        <v>1882</v>
      </c>
      <c r="AC6">
        <v>89742.01</v>
      </c>
      <c r="AD6">
        <v>101148.87</v>
      </c>
      <c r="AE6">
        <v>80562.27</v>
      </c>
      <c r="AF6">
        <v>85395.63</v>
      </c>
      <c r="AG6">
        <v>104098.13</v>
      </c>
      <c r="AH6">
        <v>103057</v>
      </c>
      <c r="AI6">
        <v>107986</v>
      </c>
      <c r="AJ6">
        <v>111619</v>
      </c>
      <c r="AK6">
        <v>115772</v>
      </c>
      <c r="AL6">
        <v>119512</v>
      </c>
      <c r="AM6">
        <v>123741</v>
      </c>
    </row>
    <row r="7" spans="21:39" x14ac:dyDescent="0.25">
      <c r="U7" s="449" t="str">
        <f t="shared" si="0"/>
        <v>1300</v>
      </c>
      <c r="V7" s="449" t="str">
        <f t="shared" si="1"/>
        <v>13</v>
      </c>
      <c r="W7" s="449" t="str">
        <f t="shared" si="2"/>
        <v>1312</v>
      </c>
      <c r="X7" s="449" t="str">
        <f t="shared" si="3"/>
        <v>10</v>
      </c>
      <c r="Y7" s="449" t="str">
        <f t="shared" si="4"/>
        <v>1000</v>
      </c>
      <c r="Z7" s="449" t="str">
        <f t="shared" si="5"/>
        <v>10</v>
      </c>
      <c r="AA7" t="s">
        <v>1857</v>
      </c>
      <c r="AB7" t="s">
        <v>1883</v>
      </c>
      <c r="AC7">
        <v>0</v>
      </c>
      <c r="AD7">
        <v>0</v>
      </c>
      <c r="AE7">
        <v>50</v>
      </c>
      <c r="AF7">
        <v>50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21:39" x14ac:dyDescent="0.25">
      <c r="U8" s="449" t="str">
        <f t="shared" si="0"/>
        <v>1300</v>
      </c>
      <c r="V8" s="449" t="str">
        <f t="shared" si="1"/>
        <v>13</v>
      </c>
      <c r="W8" s="449" t="str">
        <f t="shared" si="2"/>
        <v>1313</v>
      </c>
      <c r="X8" s="449" t="str">
        <f t="shared" si="3"/>
        <v>10</v>
      </c>
      <c r="Y8" s="449" t="str">
        <f t="shared" si="4"/>
        <v>1000</v>
      </c>
      <c r="Z8" s="449" t="str">
        <f t="shared" si="5"/>
        <v>10</v>
      </c>
      <c r="AA8" t="s">
        <v>1857</v>
      </c>
      <c r="AB8" t="s">
        <v>1884</v>
      </c>
      <c r="AC8">
        <v>7862.5</v>
      </c>
      <c r="AD8">
        <v>9500</v>
      </c>
      <c r="AE8">
        <v>8060</v>
      </c>
      <c r="AF8">
        <v>8800</v>
      </c>
      <c r="AG8">
        <v>8400</v>
      </c>
      <c r="AH8">
        <v>8000</v>
      </c>
      <c r="AI8">
        <v>8088.8</v>
      </c>
      <c r="AJ8">
        <v>8169.69</v>
      </c>
      <c r="AK8">
        <v>8251.3799999999992</v>
      </c>
      <c r="AL8">
        <v>8333.9</v>
      </c>
      <c r="AM8">
        <v>8417.24</v>
      </c>
    </row>
    <row r="9" spans="21:39" x14ac:dyDescent="0.25">
      <c r="U9" s="449" t="str">
        <f t="shared" si="0"/>
        <v>1300</v>
      </c>
      <c r="V9" s="449" t="str">
        <f t="shared" si="1"/>
        <v>13</v>
      </c>
      <c r="W9" s="449" t="str">
        <f t="shared" si="2"/>
        <v>1322</v>
      </c>
      <c r="X9" s="449" t="str">
        <f t="shared" si="3"/>
        <v>10</v>
      </c>
      <c r="Y9" s="449" t="str">
        <f t="shared" si="4"/>
        <v>1000</v>
      </c>
      <c r="Z9" s="449" t="str">
        <f t="shared" si="5"/>
        <v>10</v>
      </c>
      <c r="AA9" t="s">
        <v>1857</v>
      </c>
      <c r="AB9" t="s">
        <v>1885</v>
      </c>
      <c r="AC9">
        <v>24688.799999999999</v>
      </c>
      <c r="AD9">
        <v>26374.49</v>
      </c>
      <c r="AE9">
        <v>100136.72</v>
      </c>
      <c r="AF9">
        <v>132789.93</v>
      </c>
      <c r="AG9">
        <v>160766.46</v>
      </c>
      <c r="AH9">
        <v>125000</v>
      </c>
      <c r="AI9">
        <v>126387.5</v>
      </c>
      <c r="AJ9">
        <v>127651.38</v>
      </c>
      <c r="AK9">
        <v>128927.89</v>
      </c>
      <c r="AL9">
        <v>130217.17</v>
      </c>
      <c r="AM9">
        <v>131519.34</v>
      </c>
    </row>
    <row r="10" spans="21:39" x14ac:dyDescent="0.25">
      <c r="U10" s="449" t="str">
        <f t="shared" si="0"/>
        <v>1300</v>
      </c>
      <c r="V10" s="449" t="str">
        <f t="shared" si="1"/>
        <v>13</v>
      </c>
      <c r="W10" s="449" t="str">
        <f t="shared" si="2"/>
        <v>1323</v>
      </c>
      <c r="X10" s="449" t="str">
        <f t="shared" si="3"/>
        <v>10</v>
      </c>
      <c r="Y10" s="449" t="str">
        <f t="shared" si="4"/>
        <v>1000</v>
      </c>
      <c r="Z10" s="449" t="str">
        <f t="shared" si="5"/>
        <v>10</v>
      </c>
      <c r="AA10" t="s">
        <v>1857</v>
      </c>
      <c r="AB10" t="s">
        <v>1886</v>
      </c>
      <c r="AC10">
        <v>78465.72</v>
      </c>
      <c r="AD10">
        <v>81191.13</v>
      </c>
      <c r="AE10">
        <v>63153.45</v>
      </c>
      <c r="AF10">
        <v>120529.05</v>
      </c>
      <c r="AG10">
        <v>163835.17000000001</v>
      </c>
      <c r="AH10">
        <v>196139</v>
      </c>
      <c r="AI10">
        <v>198260.64</v>
      </c>
      <c r="AJ10">
        <v>200193.25</v>
      </c>
      <c r="AK10">
        <v>202145.18</v>
      </c>
      <c r="AL10">
        <v>204116.63</v>
      </c>
      <c r="AM10">
        <v>206107.8</v>
      </c>
    </row>
    <row r="11" spans="21:39" x14ac:dyDescent="0.25">
      <c r="U11" s="449" t="str">
        <f t="shared" si="0"/>
        <v>1500</v>
      </c>
      <c r="V11" s="449" t="str">
        <f t="shared" si="1"/>
        <v>15</v>
      </c>
      <c r="W11" s="449" t="str">
        <f t="shared" si="2"/>
        <v>1510</v>
      </c>
      <c r="X11" s="449" t="str">
        <f t="shared" si="3"/>
        <v>10</v>
      </c>
      <c r="Y11" s="449" t="str">
        <f t="shared" si="4"/>
        <v>1000</v>
      </c>
      <c r="Z11" s="449" t="str">
        <f t="shared" si="5"/>
        <v>10</v>
      </c>
      <c r="AA11" t="s">
        <v>1857</v>
      </c>
      <c r="AB11" t="s">
        <v>1887</v>
      </c>
      <c r="AC11">
        <v>2590.69</v>
      </c>
      <c r="AD11">
        <v>2453.0300000000002</v>
      </c>
      <c r="AE11">
        <v>2067.62</v>
      </c>
      <c r="AF11">
        <v>1654.09</v>
      </c>
      <c r="AG11">
        <v>1592.55</v>
      </c>
      <c r="AH11">
        <v>1400</v>
      </c>
      <c r="AI11">
        <v>1421</v>
      </c>
      <c r="AJ11">
        <v>1442.31</v>
      </c>
      <c r="AK11">
        <v>1463.95</v>
      </c>
      <c r="AL11">
        <v>1485.91</v>
      </c>
      <c r="AM11">
        <v>1508.2</v>
      </c>
    </row>
    <row r="12" spans="21:39" x14ac:dyDescent="0.25">
      <c r="U12" s="449" t="str">
        <f t="shared" si="0"/>
        <v>1900</v>
      </c>
      <c r="V12" s="449" t="str">
        <f t="shared" si="1"/>
        <v>19</v>
      </c>
      <c r="W12" s="449" t="str">
        <f t="shared" si="2"/>
        <v>1910</v>
      </c>
      <c r="X12" s="449" t="str">
        <f t="shared" si="3"/>
        <v>10</v>
      </c>
      <c r="Y12" s="449" t="str">
        <f t="shared" si="4"/>
        <v>1000</v>
      </c>
      <c r="Z12" s="449" t="str">
        <f t="shared" si="5"/>
        <v>10</v>
      </c>
      <c r="AA12" t="s">
        <v>1857</v>
      </c>
      <c r="AB12" t="s">
        <v>1888</v>
      </c>
      <c r="AC12">
        <v>0</v>
      </c>
      <c r="AD12">
        <v>400</v>
      </c>
      <c r="AE12">
        <v>425</v>
      </c>
      <c r="AF12">
        <v>1377.16</v>
      </c>
      <c r="AG12">
        <v>2866.5</v>
      </c>
      <c r="AH12">
        <v>1000</v>
      </c>
      <c r="AI12">
        <v>1015</v>
      </c>
      <c r="AJ12">
        <v>1030.22</v>
      </c>
      <c r="AK12">
        <v>1045.68</v>
      </c>
      <c r="AL12">
        <v>1061.3599999999999</v>
      </c>
      <c r="AM12">
        <v>1077.28</v>
      </c>
    </row>
    <row r="13" spans="21:39" x14ac:dyDescent="0.25">
      <c r="U13" s="449" t="str">
        <f t="shared" si="0"/>
        <v>1900</v>
      </c>
      <c r="V13" s="449" t="str">
        <f t="shared" si="1"/>
        <v>19</v>
      </c>
      <c r="W13" s="449" t="str">
        <f t="shared" si="2"/>
        <v>1920</v>
      </c>
      <c r="X13" s="449" t="str">
        <f t="shared" si="3"/>
        <v>10</v>
      </c>
      <c r="Y13" s="449" t="str">
        <f t="shared" si="4"/>
        <v>1000</v>
      </c>
      <c r="Z13" s="449" t="str">
        <f t="shared" si="5"/>
        <v>10</v>
      </c>
      <c r="AA13" t="s">
        <v>1857</v>
      </c>
      <c r="AB13" t="s">
        <v>1889</v>
      </c>
      <c r="AC13">
        <v>2184.8200000000002</v>
      </c>
      <c r="AD13">
        <v>0</v>
      </c>
      <c r="AE13">
        <v>1020.11</v>
      </c>
      <c r="AF13">
        <v>6940.29</v>
      </c>
      <c r="AG13">
        <v>9201.9500000000007</v>
      </c>
      <c r="AH13">
        <v>9201.9500000000007</v>
      </c>
      <c r="AI13">
        <v>9339.98</v>
      </c>
      <c r="AJ13">
        <v>9480.08</v>
      </c>
      <c r="AK13">
        <v>9622.2800000000007</v>
      </c>
      <c r="AL13">
        <v>9766.61</v>
      </c>
      <c r="AM13">
        <v>9913.11</v>
      </c>
    </row>
    <row r="14" spans="21:39" x14ac:dyDescent="0.25">
      <c r="U14" s="449" t="str">
        <f t="shared" si="0"/>
        <v>1900</v>
      </c>
      <c r="V14" s="449" t="str">
        <f t="shared" si="1"/>
        <v>19</v>
      </c>
      <c r="W14" s="449" t="str">
        <f t="shared" si="2"/>
        <v>1924</v>
      </c>
      <c r="X14" s="449" t="str">
        <f t="shared" si="3"/>
        <v>10</v>
      </c>
      <c r="Y14" s="449" t="str">
        <f t="shared" si="4"/>
        <v>1000</v>
      </c>
      <c r="Z14" s="449" t="str">
        <f t="shared" si="5"/>
        <v>10</v>
      </c>
      <c r="AA14" t="s">
        <v>1857</v>
      </c>
      <c r="AB14" t="s">
        <v>1890</v>
      </c>
      <c r="AC14">
        <v>0</v>
      </c>
      <c r="AD14">
        <v>0</v>
      </c>
      <c r="AE14">
        <v>244.5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21:39" x14ac:dyDescent="0.25">
      <c r="U15" s="449" t="str">
        <f t="shared" si="0"/>
        <v>1900</v>
      </c>
      <c r="V15" s="449" t="str">
        <f t="shared" si="1"/>
        <v>19</v>
      </c>
      <c r="W15" s="449" t="str">
        <f t="shared" si="2"/>
        <v>1925</v>
      </c>
      <c r="X15" s="449" t="str">
        <f t="shared" si="3"/>
        <v>10</v>
      </c>
      <c r="Y15" s="449" t="str">
        <f t="shared" si="4"/>
        <v>1000</v>
      </c>
      <c r="Z15" s="449" t="str">
        <f t="shared" si="5"/>
        <v>10</v>
      </c>
      <c r="AA15" t="s">
        <v>1857</v>
      </c>
      <c r="AB15" t="s">
        <v>1891</v>
      </c>
      <c r="AC15">
        <v>0</v>
      </c>
      <c r="AD15">
        <v>0</v>
      </c>
      <c r="AE15">
        <v>36</v>
      </c>
      <c r="AF15">
        <v>3736.34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21:39" x14ac:dyDescent="0.25">
      <c r="U16" s="449" t="str">
        <f t="shared" si="0"/>
        <v>1900</v>
      </c>
      <c r="V16" s="449" t="str">
        <f t="shared" si="1"/>
        <v>19</v>
      </c>
      <c r="W16" s="449" t="str">
        <f t="shared" si="2"/>
        <v>1951</v>
      </c>
      <c r="X16" s="449" t="str">
        <f t="shared" si="3"/>
        <v>10</v>
      </c>
      <c r="Y16" s="449" t="str">
        <f t="shared" si="4"/>
        <v>1000</v>
      </c>
      <c r="Z16" s="449" t="str">
        <f t="shared" si="5"/>
        <v>10</v>
      </c>
      <c r="AA16" t="s">
        <v>1857</v>
      </c>
      <c r="AB16" t="s">
        <v>1892</v>
      </c>
      <c r="AC16">
        <v>0</v>
      </c>
      <c r="AD16">
        <v>20549.02</v>
      </c>
      <c r="AE16">
        <v>0</v>
      </c>
      <c r="AF16">
        <v>34763.51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21:39" x14ac:dyDescent="0.25">
      <c r="U17" s="449" t="str">
        <f t="shared" si="0"/>
        <v>1900</v>
      </c>
      <c r="V17" s="449" t="str">
        <f t="shared" si="1"/>
        <v>19</v>
      </c>
      <c r="W17" s="449" t="str">
        <f t="shared" si="2"/>
        <v>1981</v>
      </c>
      <c r="X17" s="449" t="str">
        <f t="shared" si="3"/>
        <v>10</v>
      </c>
      <c r="Y17" s="449" t="str">
        <f t="shared" si="4"/>
        <v>1000</v>
      </c>
      <c r="Z17" s="449" t="str">
        <f t="shared" si="5"/>
        <v>10</v>
      </c>
      <c r="AA17" t="s">
        <v>1857</v>
      </c>
      <c r="AB17" t="s">
        <v>1893</v>
      </c>
      <c r="AC17">
        <v>0</v>
      </c>
      <c r="AD17">
        <v>0</v>
      </c>
      <c r="AE17">
        <v>5373.81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21:39" x14ac:dyDescent="0.25">
      <c r="U18" s="449" t="str">
        <f t="shared" si="0"/>
        <v>1900</v>
      </c>
      <c r="V18" s="449" t="str">
        <f t="shared" si="1"/>
        <v>19</v>
      </c>
      <c r="W18" s="449" t="str">
        <f t="shared" si="2"/>
        <v>1989</v>
      </c>
      <c r="X18" s="449" t="str">
        <f t="shared" si="3"/>
        <v>10</v>
      </c>
      <c r="Y18" s="449" t="str">
        <f t="shared" si="4"/>
        <v>1000</v>
      </c>
      <c r="Z18" s="449" t="str">
        <f t="shared" si="5"/>
        <v>10</v>
      </c>
      <c r="AA18" t="s">
        <v>1857</v>
      </c>
      <c r="AB18" t="s">
        <v>1894</v>
      </c>
      <c r="AC18">
        <v>0</v>
      </c>
      <c r="AD18">
        <v>0</v>
      </c>
      <c r="AE18">
        <v>1635.62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21:39" x14ac:dyDescent="0.25">
      <c r="U19" s="449" t="str">
        <f t="shared" si="0"/>
        <v>1900</v>
      </c>
      <c r="V19" s="449" t="str">
        <f t="shared" si="1"/>
        <v>19</v>
      </c>
      <c r="W19" s="449" t="str">
        <f t="shared" si="2"/>
        <v>1991</v>
      </c>
      <c r="X19" s="449" t="str">
        <f t="shared" si="3"/>
        <v>10</v>
      </c>
      <c r="Y19" s="449" t="str">
        <f t="shared" si="4"/>
        <v>1000</v>
      </c>
      <c r="Z19" s="449" t="str">
        <f t="shared" si="5"/>
        <v>10</v>
      </c>
      <c r="AA19" t="s">
        <v>1857</v>
      </c>
      <c r="AB19" t="s">
        <v>1895</v>
      </c>
      <c r="AC19">
        <v>5080.97</v>
      </c>
      <c r="AD19">
        <v>0</v>
      </c>
      <c r="AE19">
        <v>10726.6</v>
      </c>
      <c r="AF19">
        <v>894</v>
      </c>
      <c r="AG19">
        <v>4126.25</v>
      </c>
      <c r="AH19">
        <v>2000</v>
      </c>
      <c r="AI19">
        <v>2030</v>
      </c>
      <c r="AJ19">
        <v>2060.4499999999998</v>
      </c>
      <c r="AK19">
        <v>2091.36</v>
      </c>
      <c r="AL19">
        <v>2122.73</v>
      </c>
      <c r="AM19">
        <v>2154.5700000000002</v>
      </c>
    </row>
    <row r="20" spans="21:39" x14ac:dyDescent="0.25">
      <c r="U20" s="449" t="str">
        <f t="shared" si="0"/>
        <v>1900</v>
      </c>
      <c r="V20" s="449" t="str">
        <f t="shared" si="1"/>
        <v>19</v>
      </c>
      <c r="W20" s="449" t="str">
        <f t="shared" si="2"/>
        <v>1996</v>
      </c>
      <c r="X20" s="449" t="str">
        <f t="shared" si="3"/>
        <v>10</v>
      </c>
      <c r="Y20" s="449" t="str">
        <f t="shared" si="4"/>
        <v>1000</v>
      </c>
      <c r="Z20" s="449" t="str">
        <f t="shared" si="5"/>
        <v>10</v>
      </c>
      <c r="AA20" t="s">
        <v>1857</v>
      </c>
      <c r="AB20" t="s">
        <v>1896</v>
      </c>
      <c r="AC20">
        <v>9933.65</v>
      </c>
      <c r="AD20">
        <v>27197.65</v>
      </c>
      <c r="AE20">
        <v>0</v>
      </c>
      <c r="AF20">
        <v>9345.94</v>
      </c>
      <c r="AG20">
        <v>9262.2000000000007</v>
      </c>
      <c r="AH20">
        <v>5000</v>
      </c>
      <c r="AI20">
        <v>5075</v>
      </c>
      <c r="AJ20">
        <v>5151.12</v>
      </c>
      <c r="AK20">
        <v>5228.3900000000003</v>
      </c>
      <c r="AL20">
        <v>5306.82</v>
      </c>
      <c r="AM20">
        <v>5386.42</v>
      </c>
    </row>
    <row r="21" spans="21:39" x14ac:dyDescent="0.25">
      <c r="U21" s="449" t="str">
        <f t="shared" si="0"/>
        <v>1900</v>
      </c>
      <c r="V21" s="449" t="str">
        <f t="shared" si="1"/>
        <v>19</v>
      </c>
      <c r="W21" s="449" t="str">
        <f t="shared" si="2"/>
        <v>1999</v>
      </c>
      <c r="X21" s="449" t="str">
        <f t="shared" si="3"/>
        <v>10</v>
      </c>
      <c r="Y21" s="449" t="str">
        <f t="shared" si="4"/>
        <v>1000</v>
      </c>
      <c r="Z21" s="449" t="str">
        <f t="shared" si="5"/>
        <v>10</v>
      </c>
      <c r="AA21" t="s">
        <v>1857</v>
      </c>
      <c r="AB21" t="s">
        <v>1897</v>
      </c>
      <c r="AC21">
        <v>85543.75</v>
      </c>
      <c r="AD21">
        <v>44091.59</v>
      </c>
      <c r="AE21">
        <v>36545.839999999997</v>
      </c>
      <c r="AF21">
        <v>39738.11</v>
      </c>
      <c r="AG21">
        <v>59978.22</v>
      </c>
      <c r="AH21">
        <v>42750</v>
      </c>
      <c r="AI21">
        <v>43391.25</v>
      </c>
      <c r="AJ21">
        <v>44042.12</v>
      </c>
      <c r="AK21">
        <v>44702.75</v>
      </c>
      <c r="AL21">
        <v>45373.29</v>
      </c>
      <c r="AM21">
        <v>46053.89</v>
      </c>
    </row>
    <row r="22" spans="21:39" x14ac:dyDescent="0.25">
      <c r="U22" s="449" t="str">
        <f t="shared" si="0"/>
        <v>3100</v>
      </c>
      <c r="V22" s="449" t="str">
        <f t="shared" si="1"/>
        <v>1</v>
      </c>
      <c r="W22" s="449" t="str">
        <f t="shared" si="2"/>
        <v>3111</v>
      </c>
      <c r="X22" s="449" t="str">
        <f t="shared" si="3"/>
        <v>10</v>
      </c>
      <c r="Y22" s="449" t="str">
        <f t="shared" si="4"/>
        <v>3000</v>
      </c>
      <c r="Z22" s="449" t="str">
        <f t="shared" si="5"/>
        <v>10</v>
      </c>
      <c r="AA22" t="s">
        <v>1857</v>
      </c>
      <c r="AB22" t="s">
        <v>1898</v>
      </c>
      <c r="AC22">
        <v>2346011</v>
      </c>
      <c r="AD22">
        <v>2468960</v>
      </c>
      <c r="AE22">
        <v>2316188</v>
      </c>
      <c r="AF22">
        <v>2108336</v>
      </c>
      <c r="AG22">
        <v>2047816</v>
      </c>
      <c r="AH22">
        <v>2162299</v>
      </c>
      <c r="AI22">
        <v>2091849</v>
      </c>
      <c r="AJ22">
        <v>1990865</v>
      </c>
      <c r="AK22">
        <v>1887366</v>
      </c>
      <c r="AL22">
        <v>1812563</v>
      </c>
      <c r="AM22">
        <v>1766801</v>
      </c>
    </row>
    <row r="23" spans="21:39" x14ac:dyDescent="0.25">
      <c r="U23" s="449" t="str">
        <f t="shared" si="0"/>
        <v>3100</v>
      </c>
      <c r="V23" s="449" t="str">
        <f t="shared" si="1"/>
        <v>1</v>
      </c>
      <c r="W23" s="449" t="str">
        <f t="shared" si="2"/>
        <v>3113</v>
      </c>
      <c r="X23" s="449" t="str">
        <f t="shared" si="3"/>
        <v>10</v>
      </c>
      <c r="Y23" s="449" t="str">
        <f t="shared" si="4"/>
        <v>3000</v>
      </c>
      <c r="Z23" s="449" t="str">
        <f t="shared" si="5"/>
        <v>10</v>
      </c>
      <c r="AA23" t="s">
        <v>1857</v>
      </c>
      <c r="AB23" t="s">
        <v>1899</v>
      </c>
      <c r="AC23">
        <v>0</v>
      </c>
      <c r="AD23">
        <v>3830</v>
      </c>
      <c r="AE23">
        <v>6912</v>
      </c>
      <c r="AF23">
        <v>1890</v>
      </c>
      <c r="AG23">
        <v>5626</v>
      </c>
      <c r="AH23">
        <v>6000</v>
      </c>
      <c r="AI23">
        <v>6090</v>
      </c>
      <c r="AJ23">
        <v>6181.35</v>
      </c>
      <c r="AK23">
        <v>6274.07</v>
      </c>
      <c r="AL23">
        <v>6368.18</v>
      </c>
      <c r="AM23">
        <v>6463.7</v>
      </c>
    </row>
    <row r="24" spans="21:39" x14ac:dyDescent="0.25">
      <c r="U24" s="449" t="str">
        <f t="shared" si="0"/>
        <v>3100</v>
      </c>
      <c r="V24" s="449" t="str">
        <f t="shared" si="1"/>
        <v>3000</v>
      </c>
      <c r="W24" s="449" t="str">
        <f t="shared" si="2"/>
        <v>3116</v>
      </c>
      <c r="X24" s="449" t="str">
        <f t="shared" si="3"/>
        <v>10</v>
      </c>
      <c r="Y24" s="449" t="str">
        <f t="shared" si="4"/>
        <v>3000</v>
      </c>
      <c r="Z24" s="449" t="str">
        <f t="shared" si="5"/>
        <v>10</v>
      </c>
      <c r="AA24" t="s">
        <v>1857</v>
      </c>
      <c r="AB24" t="s">
        <v>1900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169100</v>
      </c>
      <c r="AI24">
        <v>167001</v>
      </c>
      <c r="AJ24">
        <v>165176</v>
      </c>
      <c r="AK24">
        <v>161884</v>
      </c>
      <c r="AL24">
        <v>158508</v>
      </c>
      <c r="AM24">
        <v>156729</v>
      </c>
    </row>
    <row r="25" spans="21:39" x14ac:dyDescent="0.25">
      <c r="U25" s="449" t="str">
        <f t="shared" si="0"/>
        <v>3100</v>
      </c>
      <c r="V25" s="449" t="str">
        <f t="shared" si="1"/>
        <v>1</v>
      </c>
      <c r="W25" s="449" t="str">
        <f t="shared" si="2"/>
        <v>3117</v>
      </c>
      <c r="X25" s="449" t="str">
        <f t="shared" si="3"/>
        <v>10</v>
      </c>
      <c r="Y25" s="449" t="str">
        <f t="shared" si="4"/>
        <v>3000</v>
      </c>
      <c r="Z25" s="449" t="str">
        <f t="shared" si="5"/>
        <v>10</v>
      </c>
      <c r="AA25" t="s">
        <v>1857</v>
      </c>
      <c r="AB25" t="s">
        <v>1901</v>
      </c>
      <c r="AC25">
        <v>87015</v>
      </c>
      <c r="AD25">
        <v>91815</v>
      </c>
      <c r="AE25">
        <v>89124</v>
      </c>
      <c r="AF25">
        <v>103136</v>
      </c>
      <c r="AG25">
        <v>62615</v>
      </c>
      <c r="AH25">
        <v>79968</v>
      </c>
      <c r="AI25">
        <v>80772</v>
      </c>
      <c r="AJ25">
        <v>81576</v>
      </c>
      <c r="AK25">
        <v>82392</v>
      </c>
      <c r="AL25">
        <v>83220</v>
      </c>
      <c r="AM25">
        <v>84048</v>
      </c>
    </row>
    <row r="26" spans="21:39" x14ac:dyDescent="0.25">
      <c r="U26" s="449" t="str">
        <f t="shared" si="0"/>
        <v>3100</v>
      </c>
      <c r="V26" s="449" t="str">
        <f t="shared" si="1"/>
        <v>3000</v>
      </c>
      <c r="W26" s="449" t="str">
        <f t="shared" si="2"/>
        <v>3118</v>
      </c>
      <c r="X26" s="449" t="str">
        <f t="shared" si="3"/>
        <v>10</v>
      </c>
      <c r="Y26" s="449" t="str">
        <f t="shared" si="4"/>
        <v>3000</v>
      </c>
      <c r="Z26" s="449" t="str">
        <f t="shared" si="5"/>
        <v>10</v>
      </c>
      <c r="AA26" t="s">
        <v>1857</v>
      </c>
      <c r="AB26" t="s">
        <v>1902</v>
      </c>
      <c r="AC26">
        <v>0</v>
      </c>
      <c r="AD26">
        <v>71208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21:39" x14ac:dyDescent="0.25">
      <c r="U27" s="449" t="str">
        <f t="shared" si="0"/>
        <v>3100</v>
      </c>
      <c r="V27" s="449" t="str">
        <f t="shared" si="1"/>
        <v>3000</v>
      </c>
      <c r="W27" s="449" t="str">
        <f t="shared" si="2"/>
        <v>3121</v>
      </c>
      <c r="X27" s="449" t="str">
        <f t="shared" si="3"/>
        <v>10</v>
      </c>
      <c r="Y27" s="449" t="str">
        <f t="shared" si="4"/>
        <v>3000</v>
      </c>
      <c r="Z27" s="449" t="str">
        <f t="shared" si="5"/>
        <v>10</v>
      </c>
      <c r="AA27" t="s">
        <v>1857</v>
      </c>
      <c r="AB27" t="s">
        <v>1903</v>
      </c>
      <c r="AC27">
        <v>1355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21:39" x14ac:dyDescent="0.25">
      <c r="U28" s="449" t="str">
        <f t="shared" si="0"/>
        <v>3100</v>
      </c>
      <c r="V28" s="449" t="str">
        <f t="shared" si="1"/>
        <v>3000</v>
      </c>
      <c r="W28" s="449" t="str">
        <f t="shared" si="2"/>
        <v>3123</v>
      </c>
      <c r="X28" s="449" t="str">
        <f t="shared" si="3"/>
        <v>10</v>
      </c>
      <c r="Y28" s="449" t="str">
        <f t="shared" si="4"/>
        <v>3000</v>
      </c>
      <c r="Z28" s="449" t="str">
        <f t="shared" si="5"/>
        <v>10</v>
      </c>
      <c r="AA28" t="s">
        <v>1857</v>
      </c>
      <c r="AB28" t="s">
        <v>1904</v>
      </c>
      <c r="AC28">
        <v>0</v>
      </c>
      <c r="AD28">
        <v>0</v>
      </c>
      <c r="AE28">
        <v>0</v>
      </c>
      <c r="AF28">
        <v>37590.78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21:39" x14ac:dyDescent="0.25">
      <c r="U29" s="449" t="str">
        <f t="shared" si="0"/>
        <v>3200</v>
      </c>
      <c r="V29" s="449" t="str">
        <f t="shared" si="1"/>
        <v>3000</v>
      </c>
      <c r="W29" s="449" t="str">
        <f t="shared" si="2"/>
        <v>3202</v>
      </c>
      <c r="X29" s="449" t="str">
        <f t="shared" si="3"/>
        <v>10</v>
      </c>
      <c r="Y29" s="449" t="str">
        <f t="shared" si="4"/>
        <v>3000</v>
      </c>
      <c r="Z29" s="449" t="str">
        <f t="shared" si="5"/>
        <v>10</v>
      </c>
      <c r="AA29" t="s">
        <v>1857</v>
      </c>
      <c r="AB29" t="s">
        <v>1905</v>
      </c>
      <c r="AC29">
        <v>3738</v>
      </c>
      <c r="AD29">
        <v>2600</v>
      </c>
      <c r="AE29">
        <v>6500</v>
      </c>
      <c r="AF29">
        <v>2196.7399999999998</v>
      </c>
      <c r="AG29">
        <v>4355.66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21:39" x14ac:dyDescent="0.25">
      <c r="U30" s="449" t="str">
        <f t="shared" si="0"/>
        <v>3200</v>
      </c>
      <c r="V30" s="449" t="str">
        <f t="shared" si="1"/>
        <v>1</v>
      </c>
      <c r="W30" s="449" t="str">
        <f t="shared" si="2"/>
        <v>3204</v>
      </c>
      <c r="X30" s="449" t="str">
        <f t="shared" si="3"/>
        <v>10</v>
      </c>
      <c r="Y30" s="449" t="str">
        <f t="shared" si="4"/>
        <v>3000</v>
      </c>
      <c r="Z30" s="449" t="str">
        <f t="shared" si="5"/>
        <v>10</v>
      </c>
      <c r="AA30" t="s">
        <v>1857</v>
      </c>
      <c r="AB30" t="s">
        <v>1906</v>
      </c>
      <c r="AC30">
        <v>296984</v>
      </c>
      <c r="AD30">
        <v>306361</v>
      </c>
      <c r="AE30">
        <v>308349</v>
      </c>
      <c r="AF30">
        <v>308349</v>
      </c>
      <c r="AG30">
        <v>297427</v>
      </c>
      <c r="AH30">
        <v>294460</v>
      </c>
      <c r="AI30">
        <v>290866</v>
      </c>
      <c r="AJ30">
        <v>287746</v>
      </c>
      <c r="AK30">
        <v>282061</v>
      </c>
      <c r="AL30">
        <v>276231</v>
      </c>
      <c r="AM30">
        <v>273185</v>
      </c>
    </row>
    <row r="31" spans="21:39" x14ac:dyDescent="0.25">
      <c r="U31" s="449" t="str">
        <f t="shared" si="0"/>
        <v>3200</v>
      </c>
      <c r="V31" s="449" t="str">
        <f t="shared" si="1"/>
        <v>1</v>
      </c>
      <c r="W31" s="449" t="str">
        <f t="shared" si="2"/>
        <v>3214</v>
      </c>
      <c r="X31" s="449" t="str">
        <f t="shared" si="3"/>
        <v>10</v>
      </c>
      <c r="Y31" s="449" t="str">
        <f t="shared" si="4"/>
        <v>3000</v>
      </c>
      <c r="Z31" s="449" t="str">
        <f t="shared" si="5"/>
        <v>10</v>
      </c>
      <c r="AA31" t="s">
        <v>1857</v>
      </c>
      <c r="AB31" t="s">
        <v>1907</v>
      </c>
      <c r="AC31">
        <v>224362</v>
      </c>
      <c r="AD31">
        <v>234294</v>
      </c>
      <c r="AE31">
        <v>234707</v>
      </c>
      <c r="AF31">
        <v>232364</v>
      </c>
      <c r="AG31">
        <v>225582</v>
      </c>
      <c r="AH31">
        <v>230311</v>
      </c>
      <c r="AI31">
        <v>250280</v>
      </c>
      <c r="AJ31">
        <v>248953</v>
      </c>
      <c r="AK31">
        <v>247443</v>
      </c>
      <c r="AL31">
        <v>246496</v>
      </c>
      <c r="AM31">
        <v>246316</v>
      </c>
    </row>
    <row r="32" spans="21:39" x14ac:dyDescent="0.25">
      <c r="U32" s="449" t="str">
        <f t="shared" si="0"/>
        <v>3200</v>
      </c>
      <c r="V32" s="449" t="str">
        <f t="shared" si="1"/>
        <v>1</v>
      </c>
      <c r="W32" s="449" t="str">
        <f t="shared" si="2"/>
        <v>3216</v>
      </c>
      <c r="X32" s="449" t="str">
        <f t="shared" ref="X32:X95" si="6">IF(Z32="","",IF(OR(Z32="21",Z32="22",Z32="36",Z32="61",Z32="24"),Z32,LEFT(Z32,1)&amp;"0"))</f>
        <v>10</v>
      </c>
      <c r="Y32" s="449" t="str">
        <f t="shared" si="4"/>
        <v>3000</v>
      </c>
      <c r="Z32" s="449" t="str">
        <f t="shared" si="5"/>
        <v>10</v>
      </c>
      <c r="AA32" t="s">
        <v>1857</v>
      </c>
      <c r="AB32" t="s">
        <v>1908</v>
      </c>
      <c r="AC32">
        <v>30472</v>
      </c>
      <c r="AD32">
        <v>31616</v>
      </c>
      <c r="AE32">
        <v>32064</v>
      </c>
      <c r="AF32">
        <v>32064</v>
      </c>
      <c r="AG32">
        <v>31003</v>
      </c>
      <c r="AH32">
        <v>30819</v>
      </c>
      <c r="AI32">
        <v>30505</v>
      </c>
      <c r="AJ32">
        <v>30233</v>
      </c>
      <c r="AK32">
        <v>29690</v>
      </c>
      <c r="AL32">
        <v>29125</v>
      </c>
      <c r="AM32">
        <v>28885</v>
      </c>
    </row>
    <row r="33" spans="21:39" x14ac:dyDescent="0.25">
      <c r="U33" s="449" t="str">
        <f t="shared" si="0"/>
        <v>3200</v>
      </c>
      <c r="V33" s="449" t="str">
        <f t="shared" si="1"/>
        <v>3000</v>
      </c>
      <c r="W33" s="449" t="str">
        <f t="shared" si="2"/>
        <v>3261</v>
      </c>
      <c r="X33" s="449" t="str">
        <f t="shared" si="6"/>
        <v>10</v>
      </c>
      <c r="Y33" s="449" t="str">
        <f t="shared" si="4"/>
        <v>3000</v>
      </c>
      <c r="Z33" s="449" t="str">
        <f t="shared" si="5"/>
        <v>10</v>
      </c>
      <c r="AA33" t="s">
        <v>1857</v>
      </c>
      <c r="AB33" t="s">
        <v>1909</v>
      </c>
      <c r="AC33">
        <v>6668.84</v>
      </c>
      <c r="AD33">
        <v>6477.19</v>
      </c>
      <c r="AE33">
        <v>8071.43</v>
      </c>
      <c r="AF33">
        <v>7576.55</v>
      </c>
      <c r="AG33">
        <v>2339.69</v>
      </c>
      <c r="AH33">
        <v>2339.69</v>
      </c>
      <c r="AI33">
        <v>2374.79</v>
      </c>
      <c r="AJ33">
        <v>2410.41</v>
      </c>
      <c r="AK33">
        <v>2446.56</v>
      </c>
      <c r="AL33">
        <v>2483.2600000000002</v>
      </c>
      <c r="AM33">
        <v>2520.5100000000002</v>
      </c>
    </row>
    <row r="34" spans="21:39" x14ac:dyDescent="0.25">
      <c r="U34" s="449" t="str">
        <f t="shared" si="0"/>
        <v>3300</v>
      </c>
      <c r="V34" s="449" t="str">
        <f t="shared" si="1"/>
        <v>3000</v>
      </c>
      <c r="W34" s="449" t="str">
        <f t="shared" si="2"/>
        <v>3342</v>
      </c>
      <c r="X34" s="449" t="str">
        <f t="shared" si="6"/>
        <v>10</v>
      </c>
      <c r="Y34" s="449" t="str">
        <f t="shared" si="4"/>
        <v>3000</v>
      </c>
      <c r="Z34" s="449" t="str">
        <f t="shared" si="5"/>
        <v>10</v>
      </c>
      <c r="AA34" t="s">
        <v>1857</v>
      </c>
      <c r="AB34" t="s">
        <v>1910</v>
      </c>
      <c r="AC34">
        <v>0</v>
      </c>
      <c r="AD34">
        <v>16544.29</v>
      </c>
      <c r="AE34">
        <v>16626.759999999998</v>
      </c>
      <c r="AF34">
        <v>16452</v>
      </c>
      <c r="AG34">
        <v>16388</v>
      </c>
      <c r="AH34">
        <v>15632</v>
      </c>
      <c r="AI34">
        <v>15866</v>
      </c>
      <c r="AJ34">
        <v>16104</v>
      </c>
      <c r="AK34">
        <v>16346</v>
      </c>
      <c r="AL34">
        <v>16591</v>
      </c>
      <c r="AM34">
        <v>16840</v>
      </c>
    </row>
    <row r="35" spans="21:39" x14ac:dyDescent="0.25">
      <c r="U35" s="449" t="str">
        <f t="shared" si="0"/>
        <v>3300</v>
      </c>
      <c r="V35" s="449" t="str">
        <f t="shared" si="1"/>
        <v>1</v>
      </c>
      <c r="W35" s="449" t="str">
        <f t="shared" si="2"/>
        <v>3373</v>
      </c>
      <c r="X35" s="449" t="str">
        <f t="shared" si="6"/>
        <v>10</v>
      </c>
      <c r="Y35" s="449" t="str">
        <f t="shared" si="4"/>
        <v>3000</v>
      </c>
      <c r="Z35" s="449" t="str">
        <f t="shared" si="5"/>
        <v>10</v>
      </c>
      <c r="AA35" t="s">
        <v>1857</v>
      </c>
      <c r="AB35" t="s">
        <v>1911</v>
      </c>
      <c r="AC35">
        <v>9099</v>
      </c>
      <c r="AD35">
        <v>9421</v>
      </c>
      <c r="AE35">
        <v>9519</v>
      </c>
      <c r="AF35">
        <v>9519</v>
      </c>
      <c r="AG35">
        <v>9193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21:39" x14ac:dyDescent="0.25">
      <c r="U36" s="449" t="str">
        <f t="shared" si="0"/>
        <v>3300</v>
      </c>
      <c r="V36" s="449" t="str">
        <f t="shared" si="1"/>
        <v>3000</v>
      </c>
      <c r="W36" s="449" t="str">
        <f t="shared" si="2"/>
        <v>3374</v>
      </c>
      <c r="X36" s="449" t="str">
        <f t="shared" si="6"/>
        <v>10</v>
      </c>
      <c r="Y36" s="449" t="str">
        <f t="shared" si="4"/>
        <v>3000</v>
      </c>
      <c r="Z36" s="449" t="str">
        <f t="shared" si="5"/>
        <v>10</v>
      </c>
      <c r="AA36" t="s">
        <v>1857</v>
      </c>
      <c r="AB36" t="s">
        <v>1912</v>
      </c>
      <c r="AC36">
        <v>3997.03</v>
      </c>
      <c r="AD36">
        <v>0</v>
      </c>
      <c r="AE36">
        <v>0</v>
      </c>
      <c r="AF36">
        <v>0</v>
      </c>
      <c r="AG36">
        <v>367.2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21:39" x14ac:dyDescent="0.25">
      <c r="U37" s="449" t="str">
        <f t="shared" si="0"/>
        <v>3300</v>
      </c>
      <c r="V37" s="449" t="str">
        <f t="shared" si="1"/>
        <v>1</v>
      </c>
      <c r="W37" s="449" t="str">
        <f t="shared" si="2"/>
        <v>3376</v>
      </c>
      <c r="X37" s="449" t="str">
        <f t="shared" si="6"/>
        <v>10</v>
      </c>
      <c r="Y37" s="449" t="str">
        <f t="shared" si="4"/>
        <v>3000</v>
      </c>
      <c r="Z37" s="449" t="str">
        <f t="shared" si="5"/>
        <v>10</v>
      </c>
      <c r="AA37" t="s">
        <v>1857</v>
      </c>
      <c r="AB37" t="s">
        <v>1913</v>
      </c>
      <c r="AC37">
        <v>21408</v>
      </c>
      <c r="AD37">
        <v>22166</v>
      </c>
      <c r="AE37">
        <v>22396</v>
      </c>
      <c r="AF37">
        <v>22396</v>
      </c>
      <c r="AG37">
        <v>21630</v>
      </c>
      <c r="AH37">
        <v>30581</v>
      </c>
      <c r="AI37">
        <v>30237</v>
      </c>
      <c r="AJ37">
        <v>29939</v>
      </c>
      <c r="AK37">
        <v>29375</v>
      </c>
      <c r="AL37">
        <v>28792</v>
      </c>
      <c r="AM37">
        <v>28507</v>
      </c>
    </row>
    <row r="38" spans="21:39" x14ac:dyDescent="0.25">
      <c r="U38" s="449" t="str">
        <f t="shared" si="0"/>
        <v>3300</v>
      </c>
      <c r="V38" s="449" t="str">
        <f t="shared" si="1"/>
        <v>3000</v>
      </c>
      <c r="W38" s="449" t="str">
        <f t="shared" si="2"/>
        <v>3387</v>
      </c>
      <c r="X38" s="449" t="str">
        <f t="shared" si="6"/>
        <v>10</v>
      </c>
      <c r="Y38" s="449" t="str">
        <f t="shared" si="4"/>
        <v>3000</v>
      </c>
      <c r="Z38" s="449" t="str">
        <f t="shared" si="5"/>
        <v>10</v>
      </c>
      <c r="AA38" t="s">
        <v>1857</v>
      </c>
      <c r="AB38" t="s">
        <v>1914</v>
      </c>
      <c r="AC38">
        <v>0</v>
      </c>
      <c r="AD38">
        <v>7200.03</v>
      </c>
      <c r="AE38">
        <v>0</v>
      </c>
      <c r="AF38">
        <v>0</v>
      </c>
      <c r="AG38">
        <v>165101.42000000001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21:39" x14ac:dyDescent="0.25">
      <c r="U39" s="449" t="str">
        <f t="shared" si="0"/>
        <v>3800</v>
      </c>
      <c r="V39" s="449" t="str">
        <f t="shared" si="1"/>
        <v>3000</v>
      </c>
      <c r="W39" s="449" t="str">
        <f t="shared" si="2"/>
        <v>3801</v>
      </c>
      <c r="X39" s="449" t="str">
        <f t="shared" si="6"/>
        <v>10</v>
      </c>
      <c r="Y39" s="449" t="str">
        <f t="shared" si="4"/>
        <v>3000</v>
      </c>
      <c r="Z39" s="449" t="str">
        <f t="shared" si="5"/>
        <v>10</v>
      </c>
      <c r="AA39" t="s">
        <v>1857</v>
      </c>
      <c r="AB39" t="s">
        <v>1915</v>
      </c>
      <c r="AC39">
        <v>0</v>
      </c>
      <c r="AD39">
        <v>790.18</v>
      </c>
      <c r="AE39">
        <v>810</v>
      </c>
      <c r="AF39">
        <v>999.14</v>
      </c>
      <c r="AG39">
        <v>694.07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21:39" x14ac:dyDescent="0.25">
      <c r="U40" s="449" t="str">
        <f t="shared" si="0"/>
        <v>3800</v>
      </c>
      <c r="V40" s="449" t="str">
        <f t="shared" si="1"/>
        <v>1</v>
      </c>
      <c r="W40" s="449" t="str">
        <f t="shared" si="2"/>
        <v>3803</v>
      </c>
      <c r="X40" s="449" t="str">
        <f t="shared" si="6"/>
        <v>10</v>
      </c>
      <c r="Y40" s="449" t="str">
        <f t="shared" si="4"/>
        <v>3000</v>
      </c>
      <c r="Z40" s="449" t="str">
        <f t="shared" si="5"/>
        <v>10</v>
      </c>
      <c r="AA40" t="s">
        <v>1857</v>
      </c>
      <c r="AB40" t="s">
        <v>1916</v>
      </c>
      <c r="AC40">
        <v>0</v>
      </c>
      <c r="AD40">
        <v>0</v>
      </c>
      <c r="AE40">
        <v>0</v>
      </c>
      <c r="AF40">
        <v>12201.49</v>
      </c>
      <c r="AG40">
        <v>11369.59</v>
      </c>
      <c r="AH40">
        <v>15127</v>
      </c>
      <c r="AI40">
        <v>15851</v>
      </c>
      <c r="AJ40">
        <v>16384</v>
      </c>
      <c r="AK40">
        <v>16994</v>
      </c>
      <c r="AL40">
        <v>17543</v>
      </c>
      <c r="AM40">
        <v>18164</v>
      </c>
    </row>
    <row r="41" spans="21:39" x14ac:dyDescent="0.25">
      <c r="U41" s="449" t="str">
        <f t="shared" si="0"/>
        <v>4300</v>
      </c>
      <c r="V41" s="449" t="str">
        <f t="shared" si="1"/>
        <v>4000</v>
      </c>
      <c r="W41" s="449" t="str">
        <f t="shared" si="2"/>
        <v>4334</v>
      </c>
      <c r="X41" s="449" t="str">
        <f t="shared" si="6"/>
        <v>10</v>
      </c>
      <c r="Y41" s="449" t="str">
        <f t="shared" si="4"/>
        <v>4000</v>
      </c>
      <c r="Z41" s="449" t="str">
        <f t="shared" si="5"/>
        <v>10</v>
      </c>
      <c r="AA41" t="s">
        <v>1857</v>
      </c>
      <c r="AB41" t="s">
        <v>1917</v>
      </c>
      <c r="AC41">
        <v>0</v>
      </c>
      <c r="AD41">
        <v>26602</v>
      </c>
      <c r="AE41">
        <v>0</v>
      </c>
      <c r="AF41">
        <v>96170</v>
      </c>
      <c r="AG41">
        <v>0</v>
      </c>
      <c r="AH41">
        <v>32521</v>
      </c>
      <c r="AI41">
        <v>33008.81</v>
      </c>
      <c r="AJ41">
        <v>33503.949999999997</v>
      </c>
      <c r="AK41">
        <v>34006.51</v>
      </c>
      <c r="AL41">
        <v>34516.6</v>
      </c>
      <c r="AM41">
        <v>35034.35</v>
      </c>
    </row>
    <row r="42" spans="21:39" x14ac:dyDescent="0.25">
      <c r="U42" s="449" t="str">
        <f t="shared" si="0"/>
        <v>4500</v>
      </c>
      <c r="V42" s="449" t="str">
        <f t="shared" si="1"/>
        <v>4000</v>
      </c>
      <c r="W42" s="449" t="str">
        <f t="shared" si="2"/>
        <v>4501</v>
      </c>
      <c r="X42" s="449" t="str">
        <f t="shared" si="6"/>
        <v>10</v>
      </c>
      <c r="Y42" s="449" t="str">
        <f t="shared" si="4"/>
        <v>4000</v>
      </c>
      <c r="Z42" s="449" t="str">
        <f t="shared" si="5"/>
        <v>10</v>
      </c>
      <c r="AA42" t="s">
        <v>1857</v>
      </c>
      <c r="AB42" t="s">
        <v>1918</v>
      </c>
      <c r="AC42">
        <v>104596</v>
      </c>
      <c r="AD42">
        <v>104172</v>
      </c>
      <c r="AE42">
        <v>98971</v>
      </c>
      <c r="AF42">
        <v>103957</v>
      </c>
      <c r="AG42">
        <v>101375</v>
      </c>
      <c r="AH42">
        <v>95726</v>
      </c>
      <c r="AI42">
        <v>97162</v>
      </c>
      <c r="AJ42">
        <v>98619</v>
      </c>
      <c r="AK42">
        <v>100099</v>
      </c>
      <c r="AL42">
        <v>101600</v>
      </c>
      <c r="AM42">
        <v>103124</v>
      </c>
    </row>
    <row r="43" spans="21:39" x14ac:dyDescent="0.25">
      <c r="U43" s="449" t="str">
        <f t="shared" si="0"/>
        <v>4500</v>
      </c>
      <c r="V43" s="449" t="str">
        <f t="shared" si="1"/>
        <v>4000</v>
      </c>
      <c r="W43" s="449" t="str">
        <f t="shared" si="2"/>
        <v>4531</v>
      </c>
      <c r="X43" s="449" t="str">
        <f t="shared" si="6"/>
        <v>10</v>
      </c>
      <c r="Y43" s="449" t="str">
        <f t="shared" si="4"/>
        <v>4000</v>
      </c>
      <c r="Z43" s="449" t="str">
        <f t="shared" si="5"/>
        <v>10</v>
      </c>
      <c r="AA43" t="s">
        <v>1857</v>
      </c>
      <c r="AB43" t="s">
        <v>1919</v>
      </c>
      <c r="AC43">
        <v>5304.94</v>
      </c>
      <c r="AD43">
        <v>5130.59</v>
      </c>
      <c r="AE43">
        <v>8548.23</v>
      </c>
      <c r="AF43">
        <v>5085.0200000000004</v>
      </c>
      <c r="AG43">
        <v>5953.36</v>
      </c>
      <c r="AH43">
        <v>5000</v>
      </c>
      <c r="AI43">
        <v>5075</v>
      </c>
      <c r="AJ43">
        <v>5151</v>
      </c>
      <c r="AK43">
        <v>5228</v>
      </c>
      <c r="AL43">
        <v>5307</v>
      </c>
      <c r="AM43">
        <v>5386</v>
      </c>
    </row>
    <row r="44" spans="21:39" x14ac:dyDescent="0.25">
      <c r="U44" s="449" t="str">
        <f t="shared" si="0"/>
        <v>4600</v>
      </c>
      <c r="V44" s="449" t="str">
        <f t="shared" si="1"/>
        <v>4000</v>
      </c>
      <c r="W44" s="449" t="str">
        <f t="shared" si="2"/>
        <v>4634</v>
      </c>
      <c r="X44" s="449" t="str">
        <f t="shared" si="6"/>
        <v>10</v>
      </c>
      <c r="Y44" s="449" t="str">
        <f t="shared" si="4"/>
        <v>4000</v>
      </c>
      <c r="Z44" s="449" t="str">
        <f t="shared" si="5"/>
        <v>10</v>
      </c>
      <c r="AA44" t="s">
        <v>1857</v>
      </c>
      <c r="AB44" t="s">
        <v>1920</v>
      </c>
      <c r="AC44">
        <v>0</v>
      </c>
      <c r="AD44">
        <v>0</v>
      </c>
      <c r="AE44">
        <v>0</v>
      </c>
      <c r="AF44">
        <v>0</v>
      </c>
      <c r="AG44">
        <v>9876.24</v>
      </c>
      <c r="AH44">
        <v>25000</v>
      </c>
      <c r="AI44">
        <v>25375</v>
      </c>
      <c r="AJ44">
        <v>25755.62</v>
      </c>
      <c r="AK44">
        <v>26141.96</v>
      </c>
      <c r="AL44">
        <v>26534.09</v>
      </c>
      <c r="AM44">
        <v>26932.1</v>
      </c>
    </row>
    <row r="45" spans="21:39" x14ac:dyDescent="0.25">
      <c r="U45" s="449" t="str">
        <f t="shared" si="0"/>
        <v>4600</v>
      </c>
      <c r="V45" s="449" t="str">
        <f t="shared" si="1"/>
        <v>4000</v>
      </c>
      <c r="W45" s="449" t="str">
        <f t="shared" si="2"/>
        <v>4643</v>
      </c>
      <c r="X45" s="449" t="str">
        <f t="shared" si="6"/>
        <v>10</v>
      </c>
      <c r="Y45" s="449" t="str">
        <f t="shared" si="4"/>
        <v>4000</v>
      </c>
      <c r="Z45" s="449" t="str">
        <f t="shared" si="5"/>
        <v>10</v>
      </c>
      <c r="AA45" t="s">
        <v>1857</v>
      </c>
      <c r="AB45" t="s">
        <v>1921</v>
      </c>
      <c r="AC45">
        <v>29514.81</v>
      </c>
      <c r="AD45">
        <v>27660.13</v>
      </c>
      <c r="AE45">
        <v>26655.45</v>
      </c>
      <c r="AF45">
        <v>27479.05</v>
      </c>
      <c r="AG45">
        <v>27936.400000000001</v>
      </c>
      <c r="AH45">
        <v>20563.939999999999</v>
      </c>
      <c r="AI45">
        <v>20872</v>
      </c>
      <c r="AJ45">
        <v>21185</v>
      </c>
      <c r="AK45">
        <v>21503</v>
      </c>
      <c r="AL45">
        <v>21826</v>
      </c>
      <c r="AM45">
        <v>22153</v>
      </c>
    </row>
    <row r="46" spans="21:39" x14ac:dyDescent="0.25">
      <c r="U46" s="449" t="str">
        <f t="shared" si="0"/>
        <v>4600</v>
      </c>
      <c r="V46" s="449" t="str">
        <f t="shared" si="1"/>
        <v>4000</v>
      </c>
      <c r="W46" s="449" t="str">
        <f t="shared" si="2"/>
        <v>4648</v>
      </c>
      <c r="X46" s="449" t="str">
        <f t="shared" si="6"/>
        <v>10</v>
      </c>
      <c r="Y46" s="449" t="str">
        <f t="shared" si="4"/>
        <v>4000</v>
      </c>
      <c r="Z46" s="449" t="str">
        <f t="shared" si="5"/>
        <v>10</v>
      </c>
      <c r="AA46" t="s">
        <v>1857</v>
      </c>
      <c r="AB46" t="s">
        <v>1922</v>
      </c>
      <c r="AC46">
        <v>3569</v>
      </c>
      <c r="AD46">
        <v>2970</v>
      </c>
      <c r="AE46">
        <v>2615</v>
      </c>
      <c r="AF46">
        <v>1976</v>
      </c>
      <c r="AG46">
        <v>980</v>
      </c>
      <c r="AH46">
        <v>980</v>
      </c>
      <c r="AI46">
        <v>994.7</v>
      </c>
      <c r="AJ46">
        <v>1009.62</v>
      </c>
      <c r="AK46">
        <v>1024.76</v>
      </c>
      <c r="AL46">
        <v>1040.1400000000001</v>
      </c>
      <c r="AM46">
        <v>1055.74</v>
      </c>
    </row>
    <row r="47" spans="21:39" x14ac:dyDescent="0.25">
      <c r="U47" s="449" t="str">
        <f t="shared" si="0"/>
        <v>4700</v>
      </c>
      <c r="V47" s="449" t="str">
        <f t="shared" si="1"/>
        <v>4000</v>
      </c>
      <c r="W47" s="449" t="str">
        <f t="shared" si="2"/>
        <v>4720</v>
      </c>
      <c r="X47" s="449" t="str">
        <f t="shared" si="6"/>
        <v>10</v>
      </c>
      <c r="Y47" s="449" t="str">
        <f t="shared" si="4"/>
        <v>4000</v>
      </c>
      <c r="Z47" s="449" t="str">
        <f t="shared" si="5"/>
        <v>10</v>
      </c>
      <c r="AA47" t="s">
        <v>1857</v>
      </c>
      <c r="AB47" t="s">
        <v>1923</v>
      </c>
      <c r="AC47">
        <v>30343</v>
      </c>
      <c r="AD47">
        <v>27329</v>
      </c>
      <c r="AE47">
        <v>26086</v>
      </c>
      <c r="AF47">
        <v>24759</v>
      </c>
      <c r="AG47">
        <v>24617</v>
      </c>
      <c r="AH47">
        <v>23298</v>
      </c>
      <c r="AI47">
        <v>23647.47</v>
      </c>
      <c r="AJ47">
        <v>24002.18</v>
      </c>
      <c r="AK47">
        <v>24362.21</v>
      </c>
      <c r="AL47">
        <v>24727.65</v>
      </c>
      <c r="AM47">
        <v>25098.560000000001</v>
      </c>
    </row>
    <row r="48" spans="21:39" x14ac:dyDescent="0.25">
      <c r="U48" s="449" t="str">
        <f t="shared" si="0"/>
        <v>5900</v>
      </c>
      <c r="V48" s="449" t="str">
        <f t="shared" si="1"/>
        <v>5000</v>
      </c>
      <c r="W48" s="449" t="str">
        <f t="shared" si="2"/>
        <v>5900</v>
      </c>
      <c r="X48" s="449" t="str">
        <f t="shared" si="6"/>
        <v>10</v>
      </c>
      <c r="Y48" s="449" t="str">
        <f t="shared" si="4"/>
        <v>9000</v>
      </c>
      <c r="Z48" s="449" t="str">
        <f t="shared" si="5"/>
        <v>10</v>
      </c>
      <c r="AA48" t="s">
        <v>1857</v>
      </c>
      <c r="AB48" t="s">
        <v>1924</v>
      </c>
      <c r="AC48">
        <v>4002.81</v>
      </c>
      <c r="AD48">
        <v>10717.48</v>
      </c>
      <c r="AE48">
        <v>15537.56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21:39" x14ac:dyDescent="0.25">
      <c r="U49" s="449" t="str">
        <f t="shared" si="0"/>
        <v>1500</v>
      </c>
      <c r="V49" s="449" t="str">
        <f t="shared" si="1"/>
        <v>15</v>
      </c>
      <c r="W49" s="449" t="str">
        <f t="shared" si="2"/>
        <v>1510</v>
      </c>
      <c r="X49" s="449" t="str">
        <f t="shared" si="6"/>
        <v>21</v>
      </c>
      <c r="Y49" s="449" t="str">
        <f t="shared" si="4"/>
        <v>1000</v>
      </c>
      <c r="Z49" s="449" t="str">
        <f t="shared" si="5"/>
        <v>21</v>
      </c>
      <c r="AA49" t="s">
        <v>1858</v>
      </c>
      <c r="AB49" t="s">
        <v>1887</v>
      </c>
      <c r="AC49">
        <v>16.73</v>
      </c>
      <c r="AD49">
        <v>20.07</v>
      </c>
      <c r="AE49">
        <v>0</v>
      </c>
      <c r="AF49">
        <v>35.33</v>
      </c>
      <c r="AG49">
        <v>40.15</v>
      </c>
      <c r="AH49">
        <v>40.15</v>
      </c>
      <c r="AI49">
        <v>40.75</v>
      </c>
      <c r="AJ49">
        <v>41.36</v>
      </c>
      <c r="AK49">
        <v>41.98</v>
      </c>
      <c r="AL49">
        <v>42.61</v>
      </c>
      <c r="AM49">
        <v>43.25</v>
      </c>
    </row>
    <row r="50" spans="21:39" x14ac:dyDescent="0.25">
      <c r="U50" s="449" t="str">
        <f t="shared" si="0"/>
        <v>1700</v>
      </c>
      <c r="V50" s="449" t="str">
        <f t="shared" si="1"/>
        <v>17</v>
      </c>
      <c r="W50" s="449" t="str">
        <f t="shared" si="2"/>
        <v>1710</v>
      </c>
      <c r="X50" s="449" t="str">
        <f t="shared" si="6"/>
        <v>21</v>
      </c>
      <c r="Y50" s="449" t="str">
        <f t="shared" si="4"/>
        <v>1000</v>
      </c>
      <c r="Z50" s="449" t="str">
        <f t="shared" si="5"/>
        <v>21</v>
      </c>
      <c r="AA50" t="s">
        <v>1858</v>
      </c>
      <c r="AB50" t="s">
        <v>1925</v>
      </c>
      <c r="AC50">
        <v>48273.9</v>
      </c>
      <c r="AD50">
        <v>45901.14</v>
      </c>
      <c r="AE50">
        <v>45435.13</v>
      </c>
      <c r="AF50">
        <v>45150</v>
      </c>
      <c r="AG50">
        <v>33309</v>
      </c>
      <c r="AH50">
        <v>33309</v>
      </c>
      <c r="AI50">
        <v>33808.629999999997</v>
      </c>
      <c r="AJ50">
        <v>34315.760000000002</v>
      </c>
      <c r="AK50">
        <v>34830.5</v>
      </c>
      <c r="AL50">
        <v>35352.959999999999</v>
      </c>
      <c r="AM50">
        <v>35883.25</v>
      </c>
    </row>
    <row r="51" spans="21:39" x14ac:dyDescent="0.25">
      <c r="U51" s="449" t="str">
        <f t="shared" si="0"/>
        <v>1700</v>
      </c>
      <c r="V51" s="449" t="str">
        <f t="shared" si="1"/>
        <v>17</v>
      </c>
      <c r="W51" s="449" t="str">
        <f t="shared" si="2"/>
        <v>1740</v>
      </c>
      <c r="X51" s="449" t="str">
        <f t="shared" si="6"/>
        <v>21</v>
      </c>
      <c r="Y51" s="449" t="str">
        <f t="shared" si="4"/>
        <v>1000</v>
      </c>
      <c r="Z51" s="449" t="str">
        <f t="shared" si="5"/>
        <v>21</v>
      </c>
      <c r="AA51" t="s">
        <v>1858</v>
      </c>
      <c r="AB51" t="s">
        <v>1926</v>
      </c>
      <c r="AC51">
        <v>15981.41</v>
      </c>
      <c r="AD51">
        <v>20837.13</v>
      </c>
      <c r="AE51">
        <v>25667.35</v>
      </c>
      <c r="AF51">
        <v>21739.25</v>
      </c>
      <c r="AG51">
        <v>15501.74</v>
      </c>
      <c r="AH51">
        <v>15501.74</v>
      </c>
      <c r="AI51">
        <v>15734.27</v>
      </c>
      <c r="AJ51">
        <v>15970.28</v>
      </c>
      <c r="AK51">
        <v>16209.83</v>
      </c>
      <c r="AL51">
        <v>16452.98</v>
      </c>
      <c r="AM51">
        <v>16699.78</v>
      </c>
    </row>
    <row r="52" spans="21:39" x14ac:dyDescent="0.25">
      <c r="U52" s="449" t="str">
        <f t="shared" si="0"/>
        <v>1700</v>
      </c>
      <c r="V52" s="449" t="str">
        <f t="shared" si="1"/>
        <v>17</v>
      </c>
      <c r="W52" s="449" t="str">
        <f t="shared" si="2"/>
        <v>1790</v>
      </c>
      <c r="X52" s="449" t="str">
        <f t="shared" si="6"/>
        <v>21</v>
      </c>
      <c r="Y52" s="449" t="str">
        <f t="shared" si="4"/>
        <v>1000</v>
      </c>
      <c r="Z52" s="449" t="str">
        <f t="shared" si="5"/>
        <v>21</v>
      </c>
      <c r="AA52" t="s">
        <v>1858</v>
      </c>
      <c r="AB52" t="s">
        <v>1927</v>
      </c>
      <c r="AC52">
        <v>37105.06</v>
      </c>
      <c r="AD52">
        <v>44775.74</v>
      </c>
      <c r="AE52">
        <v>66083.87</v>
      </c>
      <c r="AF52">
        <v>81804.05</v>
      </c>
      <c r="AG52">
        <v>52785.99</v>
      </c>
      <c r="AH52">
        <v>52785.99</v>
      </c>
      <c r="AI52">
        <v>53577.78</v>
      </c>
      <c r="AJ52">
        <v>54381.45</v>
      </c>
      <c r="AK52">
        <v>55197.17</v>
      </c>
      <c r="AL52">
        <v>56025.13</v>
      </c>
      <c r="AM52">
        <v>56865.5</v>
      </c>
    </row>
    <row r="53" spans="21:39" x14ac:dyDescent="0.25">
      <c r="U53" s="449" t="str">
        <f t="shared" si="0"/>
        <v>1700</v>
      </c>
      <c r="V53" s="449" t="str">
        <f t="shared" si="1"/>
        <v>17</v>
      </c>
      <c r="W53" s="449" t="str">
        <f t="shared" si="2"/>
        <v>1791</v>
      </c>
      <c r="X53" s="449" t="str">
        <f t="shared" si="6"/>
        <v>21</v>
      </c>
      <c r="Y53" s="449" t="str">
        <f t="shared" si="4"/>
        <v>1000</v>
      </c>
      <c r="Z53" s="449" t="str">
        <f t="shared" si="5"/>
        <v>21</v>
      </c>
      <c r="AA53" t="s">
        <v>1858</v>
      </c>
      <c r="AB53" t="s">
        <v>1928</v>
      </c>
      <c r="AC53">
        <v>38892.15</v>
      </c>
      <c r="AD53">
        <v>40178.29</v>
      </c>
      <c r="AE53">
        <v>48889.05</v>
      </c>
      <c r="AF53">
        <v>37321.46</v>
      </c>
      <c r="AG53">
        <v>41069.06</v>
      </c>
      <c r="AH53">
        <v>41069.06</v>
      </c>
      <c r="AI53">
        <v>41685.1</v>
      </c>
      <c r="AJ53">
        <v>42310.37</v>
      </c>
      <c r="AK53">
        <v>42945.03</v>
      </c>
      <c r="AL53">
        <v>43589.2</v>
      </c>
      <c r="AM53">
        <v>44243.040000000001</v>
      </c>
    </row>
    <row r="54" spans="21:39" x14ac:dyDescent="0.25">
      <c r="U54" s="449" t="str">
        <f t="shared" si="0"/>
        <v>1700</v>
      </c>
      <c r="V54" s="449" t="str">
        <f t="shared" si="1"/>
        <v>17</v>
      </c>
      <c r="W54" s="449" t="str">
        <f t="shared" si="2"/>
        <v>1792</v>
      </c>
      <c r="X54" s="449" t="str">
        <f t="shared" si="6"/>
        <v>21</v>
      </c>
      <c r="Y54" s="449" t="str">
        <f t="shared" si="4"/>
        <v>1000</v>
      </c>
      <c r="Z54" s="449" t="str">
        <f t="shared" si="5"/>
        <v>21</v>
      </c>
      <c r="AA54" t="s">
        <v>1858</v>
      </c>
      <c r="AB54" t="s">
        <v>1929</v>
      </c>
      <c r="AC54">
        <v>21604.63</v>
      </c>
      <c r="AD54">
        <v>8189</v>
      </c>
      <c r="AE54">
        <v>6979.04</v>
      </c>
      <c r="AF54">
        <v>7505</v>
      </c>
      <c r="AG54">
        <v>7470</v>
      </c>
      <c r="AH54">
        <v>7470</v>
      </c>
      <c r="AI54">
        <v>7582.05</v>
      </c>
      <c r="AJ54">
        <v>7695.78</v>
      </c>
      <c r="AK54">
        <v>7811.22</v>
      </c>
      <c r="AL54">
        <v>7928.39</v>
      </c>
      <c r="AM54">
        <v>8047.31</v>
      </c>
    </row>
    <row r="55" spans="21:39" x14ac:dyDescent="0.25">
      <c r="U55" s="449" t="str">
        <f t="shared" si="0"/>
        <v>1700</v>
      </c>
      <c r="V55" s="449" t="str">
        <f t="shared" si="1"/>
        <v>17</v>
      </c>
      <c r="W55" s="449" t="str">
        <f t="shared" si="2"/>
        <v>1793</v>
      </c>
      <c r="X55" s="449" t="str">
        <f t="shared" si="6"/>
        <v>21</v>
      </c>
      <c r="Y55" s="449" t="str">
        <f t="shared" si="4"/>
        <v>1000</v>
      </c>
      <c r="Z55" s="449" t="str">
        <f t="shared" si="5"/>
        <v>21</v>
      </c>
      <c r="AA55" t="s">
        <v>1858</v>
      </c>
      <c r="AB55" t="s">
        <v>1930</v>
      </c>
      <c r="AC55">
        <v>1942.05</v>
      </c>
      <c r="AD55">
        <v>1861.87</v>
      </c>
      <c r="AE55">
        <v>1140</v>
      </c>
      <c r="AF55">
        <v>1560</v>
      </c>
      <c r="AG55">
        <v>1902</v>
      </c>
      <c r="AH55">
        <v>1902</v>
      </c>
      <c r="AI55">
        <v>1930.53</v>
      </c>
      <c r="AJ55">
        <v>1959.49</v>
      </c>
      <c r="AK55">
        <v>1988.88</v>
      </c>
      <c r="AL55">
        <v>2018.71</v>
      </c>
      <c r="AM55">
        <v>2048.9899999999998</v>
      </c>
    </row>
    <row r="56" spans="21:39" x14ac:dyDescent="0.25">
      <c r="U56" s="449" t="str">
        <f t="shared" si="0"/>
        <v>1700</v>
      </c>
      <c r="V56" s="449" t="str">
        <f t="shared" si="1"/>
        <v>17</v>
      </c>
      <c r="W56" s="449" t="str">
        <f t="shared" si="2"/>
        <v>1794</v>
      </c>
      <c r="X56" s="449" t="str">
        <f t="shared" si="6"/>
        <v>21</v>
      </c>
      <c r="Y56" s="449" t="str">
        <f t="shared" si="4"/>
        <v>1000</v>
      </c>
      <c r="Z56" s="449" t="str">
        <f t="shared" si="5"/>
        <v>21</v>
      </c>
      <c r="AA56" t="s">
        <v>1858</v>
      </c>
      <c r="AB56" t="s">
        <v>1931</v>
      </c>
      <c r="AC56">
        <v>0</v>
      </c>
      <c r="AD56">
        <v>309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21:39" x14ac:dyDescent="0.25">
      <c r="U57" s="449" t="str">
        <f t="shared" si="0"/>
        <v>1900</v>
      </c>
      <c r="V57" s="449" t="str">
        <f t="shared" si="1"/>
        <v>19</v>
      </c>
      <c r="W57" s="449" t="str">
        <f t="shared" si="2"/>
        <v>1920</v>
      </c>
      <c r="X57" s="449" t="str">
        <f t="shared" si="6"/>
        <v>21</v>
      </c>
      <c r="Y57" s="449" t="str">
        <f t="shared" si="4"/>
        <v>1000</v>
      </c>
      <c r="Z57" s="449" t="str">
        <f t="shared" si="5"/>
        <v>21</v>
      </c>
      <c r="AA57" t="s">
        <v>1858</v>
      </c>
      <c r="AB57" t="s">
        <v>1889</v>
      </c>
      <c r="AC57">
        <v>29191.07</v>
      </c>
      <c r="AD57">
        <v>54823.21</v>
      </c>
      <c r="AE57">
        <v>51547.34</v>
      </c>
      <c r="AF57">
        <v>54178.12</v>
      </c>
      <c r="AG57">
        <v>50999.5</v>
      </c>
      <c r="AH57">
        <v>50999.5</v>
      </c>
      <c r="AI57">
        <v>51764.49</v>
      </c>
      <c r="AJ57">
        <v>52540.959999999999</v>
      </c>
      <c r="AK57">
        <v>53329.07</v>
      </c>
      <c r="AL57">
        <v>54129.01</v>
      </c>
      <c r="AM57">
        <v>54940.95</v>
      </c>
    </row>
    <row r="58" spans="21:39" x14ac:dyDescent="0.25">
      <c r="U58" s="449" t="str">
        <f t="shared" si="0"/>
        <v>5900</v>
      </c>
      <c r="V58" s="449" t="str">
        <f t="shared" si="1"/>
        <v>5000</v>
      </c>
      <c r="W58" s="449" t="str">
        <f t="shared" si="2"/>
        <v>5900</v>
      </c>
      <c r="X58" s="449" t="str">
        <f t="shared" si="6"/>
        <v>21</v>
      </c>
      <c r="Y58" s="449" t="str">
        <f t="shared" si="4"/>
        <v>9000</v>
      </c>
      <c r="Z58" s="449" t="str">
        <f t="shared" si="5"/>
        <v>21</v>
      </c>
      <c r="AA58" t="s">
        <v>1858</v>
      </c>
      <c r="AB58" t="s">
        <v>1924</v>
      </c>
      <c r="AC58">
        <v>0</v>
      </c>
      <c r="AD58">
        <v>0</v>
      </c>
      <c r="AE58">
        <v>1177.01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21:39" x14ac:dyDescent="0.25">
      <c r="U59" s="449" t="str">
        <f t="shared" si="0"/>
        <v>1100</v>
      </c>
      <c r="V59" s="449" t="str">
        <f t="shared" si="1"/>
        <v>1</v>
      </c>
      <c r="W59" s="449" t="str">
        <f t="shared" si="2"/>
        <v>1111</v>
      </c>
      <c r="X59" s="449" t="str">
        <f t="shared" si="6"/>
        <v>22</v>
      </c>
      <c r="Y59" s="449" t="str">
        <f t="shared" si="4"/>
        <v>1000</v>
      </c>
      <c r="Z59" s="449" t="str">
        <f t="shared" si="5"/>
        <v>22</v>
      </c>
      <c r="AA59" t="s">
        <v>1859</v>
      </c>
      <c r="AB59" t="s">
        <v>1879</v>
      </c>
      <c r="AC59">
        <v>238558.13</v>
      </c>
      <c r="AD59">
        <v>261892.12</v>
      </c>
      <c r="AE59">
        <v>195360.63</v>
      </c>
      <c r="AF59">
        <v>193180.98</v>
      </c>
      <c r="AG59">
        <v>95979.12</v>
      </c>
      <c r="AH59">
        <v>96411</v>
      </c>
      <c r="AI59">
        <v>168719</v>
      </c>
      <c r="AJ59">
        <v>168717</v>
      </c>
      <c r="AK59">
        <v>168718</v>
      </c>
      <c r="AL59">
        <v>168718</v>
      </c>
      <c r="AM59">
        <v>168718</v>
      </c>
    </row>
    <row r="60" spans="21:39" x14ac:dyDescent="0.25">
      <c r="U60" s="449" t="str">
        <f t="shared" si="0"/>
        <v>1100</v>
      </c>
      <c r="V60" s="449" t="str">
        <f t="shared" si="1"/>
        <v>1</v>
      </c>
      <c r="W60" s="449" t="str">
        <f t="shared" si="2"/>
        <v>1171</v>
      </c>
      <c r="X60" s="449" t="str">
        <f t="shared" si="6"/>
        <v>22</v>
      </c>
      <c r="Y60" s="449" t="str">
        <f t="shared" si="4"/>
        <v>1000</v>
      </c>
      <c r="Z60" s="449" t="str">
        <f t="shared" si="5"/>
        <v>22</v>
      </c>
      <c r="AA60" t="s">
        <v>1859</v>
      </c>
      <c r="AB60" t="s">
        <v>1882</v>
      </c>
      <c r="AC60">
        <v>11466.58</v>
      </c>
      <c r="AD60">
        <v>13988.42</v>
      </c>
      <c r="AE60">
        <v>7776.61</v>
      </c>
      <c r="AF60">
        <v>6547.76</v>
      </c>
      <c r="AG60">
        <v>3905.06</v>
      </c>
      <c r="AH60">
        <v>3590</v>
      </c>
      <c r="AI60">
        <v>6281</v>
      </c>
      <c r="AJ60">
        <v>6283</v>
      </c>
      <c r="AK60">
        <v>6282</v>
      </c>
      <c r="AL60">
        <v>6282</v>
      </c>
      <c r="AM60">
        <v>6282</v>
      </c>
    </row>
    <row r="61" spans="21:39" x14ac:dyDescent="0.25">
      <c r="U61" s="449" t="str">
        <f t="shared" si="0"/>
        <v>1500</v>
      </c>
      <c r="V61" s="449" t="str">
        <f t="shared" si="1"/>
        <v>15</v>
      </c>
      <c r="W61" s="449" t="str">
        <f t="shared" si="2"/>
        <v>1510</v>
      </c>
      <c r="X61" s="449" t="str">
        <f t="shared" si="6"/>
        <v>22</v>
      </c>
      <c r="Y61" s="449" t="str">
        <f t="shared" si="4"/>
        <v>1000</v>
      </c>
      <c r="Z61" s="449" t="str">
        <f t="shared" si="5"/>
        <v>22</v>
      </c>
      <c r="AA61" t="s">
        <v>1859</v>
      </c>
      <c r="AB61" t="s">
        <v>1887</v>
      </c>
      <c r="AC61">
        <v>20.32</v>
      </c>
      <c r="AD61">
        <v>61.26</v>
      </c>
      <c r="AE61">
        <v>50.83</v>
      </c>
      <c r="AF61">
        <v>96.2</v>
      </c>
      <c r="AG61">
        <v>117.25</v>
      </c>
      <c r="AH61">
        <v>100</v>
      </c>
      <c r="AI61">
        <v>101.5</v>
      </c>
      <c r="AJ61">
        <v>103.02</v>
      </c>
      <c r="AK61">
        <v>104.57</v>
      </c>
      <c r="AL61">
        <v>106.14</v>
      </c>
      <c r="AM61">
        <v>107.73</v>
      </c>
    </row>
    <row r="62" spans="21:39" x14ac:dyDescent="0.25">
      <c r="U62" s="449" t="str">
        <f t="shared" si="0"/>
        <v>1900</v>
      </c>
      <c r="V62" s="449" t="str">
        <f t="shared" si="1"/>
        <v>19</v>
      </c>
      <c r="W62" s="449" t="str">
        <f t="shared" si="2"/>
        <v>1999</v>
      </c>
      <c r="X62" s="449" t="str">
        <f t="shared" si="6"/>
        <v>22</v>
      </c>
      <c r="Y62" s="449" t="str">
        <f t="shared" si="4"/>
        <v>1000</v>
      </c>
      <c r="Z62" s="449" t="str">
        <f t="shared" si="5"/>
        <v>22</v>
      </c>
      <c r="AA62" t="s">
        <v>1859</v>
      </c>
      <c r="AB62" t="s">
        <v>1897</v>
      </c>
      <c r="AC62">
        <v>1143</v>
      </c>
      <c r="AD62">
        <v>33329.599999999999</v>
      </c>
      <c r="AE62">
        <v>5432.7</v>
      </c>
      <c r="AF62">
        <v>0</v>
      </c>
      <c r="AG62">
        <v>12987.58</v>
      </c>
      <c r="AH62">
        <v>10000</v>
      </c>
      <c r="AI62">
        <v>10150</v>
      </c>
      <c r="AJ62">
        <v>10302.25</v>
      </c>
      <c r="AK62">
        <v>10456.780000000001</v>
      </c>
      <c r="AL62">
        <v>10613.64</v>
      </c>
      <c r="AM62">
        <v>10772.84</v>
      </c>
    </row>
    <row r="63" spans="21:39" x14ac:dyDescent="0.25">
      <c r="U63" s="449" t="str">
        <f t="shared" si="0"/>
        <v>3800</v>
      </c>
      <c r="V63" s="449" t="str">
        <f t="shared" si="1"/>
        <v>3000</v>
      </c>
      <c r="W63" s="449" t="str">
        <f t="shared" si="2"/>
        <v>3801</v>
      </c>
      <c r="X63" s="449" t="str">
        <f t="shared" si="6"/>
        <v>22</v>
      </c>
      <c r="Y63" s="449" t="str">
        <f t="shared" si="4"/>
        <v>3000</v>
      </c>
      <c r="Z63" s="449" t="str">
        <f t="shared" si="5"/>
        <v>22</v>
      </c>
      <c r="AA63" t="s">
        <v>1859</v>
      </c>
      <c r="AB63" t="s">
        <v>1915</v>
      </c>
      <c r="AC63">
        <v>0</v>
      </c>
      <c r="AD63">
        <v>109.27</v>
      </c>
      <c r="AE63">
        <v>80.59</v>
      </c>
      <c r="AF63">
        <v>76.56</v>
      </c>
      <c r="AG63">
        <v>26.04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21:39" x14ac:dyDescent="0.25">
      <c r="U64" s="449" t="str">
        <f t="shared" si="0"/>
        <v>3800</v>
      </c>
      <c r="V64" s="449" t="str">
        <f t="shared" si="1"/>
        <v>1</v>
      </c>
      <c r="W64" s="449" t="str">
        <f t="shared" si="2"/>
        <v>3803</v>
      </c>
      <c r="X64" s="449" t="str">
        <f t="shared" si="6"/>
        <v>22</v>
      </c>
      <c r="Y64" s="449" t="str">
        <f t="shared" si="4"/>
        <v>3000</v>
      </c>
      <c r="Z64" s="449" t="str">
        <f t="shared" si="5"/>
        <v>22</v>
      </c>
      <c r="AA64" t="s">
        <v>1859</v>
      </c>
      <c r="AB64" t="s">
        <v>1916</v>
      </c>
      <c r="AC64">
        <v>0</v>
      </c>
      <c r="AD64">
        <v>0</v>
      </c>
      <c r="AE64">
        <v>0</v>
      </c>
      <c r="AF64">
        <v>935.1</v>
      </c>
      <c r="AG64">
        <v>426.51</v>
      </c>
      <c r="AH64">
        <v>527</v>
      </c>
      <c r="AI64">
        <v>922</v>
      </c>
      <c r="AJ64">
        <v>922</v>
      </c>
      <c r="AK64">
        <v>922</v>
      </c>
      <c r="AL64">
        <v>922</v>
      </c>
      <c r="AM64">
        <v>922</v>
      </c>
    </row>
    <row r="65" spans="21:39" x14ac:dyDescent="0.25">
      <c r="U65" s="449" t="str">
        <f t="shared" si="0"/>
        <v>5100</v>
      </c>
      <c r="V65" s="449" t="str">
        <f t="shared" si="1"/>
        <v>5000</v>
      </c>
      <c r="W65" s="449" t="str">
        <f t="shared" si="2"/>
        <v>5111</v>
      </c>
      <c r="X65" s="449" t="str">
        <f t="shared" si="6"/>
        <v>30</v>
      </c>
      <c r="Y65" s="449" t="str">
        <f t="shared" si="4"/>
        <v>9000</v>
      </c>
      <c r="Z65" s="449" t="str">
        <f t="shared" si="5"/>
        <v>31</v>
      </c>
      <c r="AA65" t="s">
        <v>1861</v>
      </c>
      <c r="AB65" t="s">
        <v>1932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9785000</v>
      </c>
      <c r="AI65">
        <v>9931775</v>
      </c>
      <c r="AJ65">
        <v>10080751.619999999</v>
      </c>
      <c r="AK65">
        <v>10231962.9</v>
      </c>
      <c r="AL65">
        <v>10385442.34</v>
      </c>
      <c r="AM65">
        <v>10541223.98</v>
      </c>
    </row>
    <row r="66" spans="21:39" x14ac:dyDescent="0.25">
      <c r="U66" s="449" t="str">
        <f t="shared" si="0"/>
        <v>5100</v>
      </c>
      <c r="V66" s="449" t="str">
        <f t="shared" si="1"/>
        <v>5000</v>
      </c>
      <c r="W66" s="449" t="str">
        <f t="shared" si="2"/>
        <v>5120</v>
      </c>
      <c r="X66" s="449" t="str">
        <f t="shared" si="6"/>
        <v>30</v>
      </c>
      <c r="Y66" s="449" t="str">
        <f t="shared" si="4"/>
        <v>9000</v>
      </c>
      <c r="Z66" s="449" t="str">
        <f t="shared" si="5"/>
        <v>31</v>
      </c>
      <c r="AA66" t="s">
        <v>1861</v>
      </c>
      <c r="AB66" t="s">
        <v>1933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210099.5</v>
      </c>
      <c r="AI66">
        <v>213250.99</v>
      </c>
      <c r="AJ66">
        <v>216449.76</v>
      </c>
      <c r="AK66">
        <v>219696.5</v>
      </c>
      <c r="AL66">
        <v>222991.95</v>
      </c>
      <c r="AM66">
        <v>226336.83</v>
      </c>
    </row>
    <row r="67" spans="21:39" x14ac:dyDescent="0.25">
      <c r="U67" s="449" t="str">
        <f t="shared" si="0"/>
        <v>1100</v>
      </c>
      <c r="V67" s="449" t="str">
        <f t="shared" si="1"/>
        <v>1</v>
      </c>
      <c r="W67" s="449" t="str">
        <f t="shared" si="2"/>
        <v>1121</v>
      </c>
      <c r="X67" s="449" t="str">
        <f t="shared" si="6"/>
        <v>30</v>
      </c>
      <c r="Y67" s="449" t="str">
        <f t="shared" si="4"/>
        <v>1000</v>
      </c>
      <c r="Z67" s="449" t="str">
        <f t="shared" si="5"/>
        <v>33</v>
      </c>
      <c r="AA67" t="s">
        <v>1862</v>
      </c>
      <c r="AB67" t="s">
        <v>1934</v>
      </c>
      <c r="AC67">
        <v>506477.96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21:39" x14ac:dyDescent="0.25">
      <c r="U68" s="449" t="str">
        <f t="shared" ref="U68:U131" si="7">IF(AB68="","",LEFT(W68,2)&amp;"00")</f>
        <v>1500</v>
      </c>
      <c r="V68" s="449" t="str">
        <f t="shared" ref="V68:V131" si="8">IF(W68="","",IF(AND(W68&gt;"1109",W68&lt;"1172"),"1",IF(OR(W68="3111",W68="3113",W68="3117",W68="3204",W68="3214",W68="3216",W68="3373",W68="3376",W68="3803"),"1",IF(LEFT(W68,1)="1",IF(OR(LEFT(W68,2)="10",LEFT(W68,2)="12",LEFT(W68,2)="16",LEFT(W68,2)="18",LEFT(W68,2)="19"),"19",LEFT(W68,2)),LEFT(W68,1)&amp;"000"))))</f>
        <v>15</v>
      </c>
      <c r="W68" s="449" t="str">
        <f t="shared" ref="W68:W131" si="9">LEFT(AB68,4)</f>
        <v>1510</v>
      </c>
      <c r="X68" s="449" t="str">
        <f t="shared" si="6"/>
        <v>30</v>
      </c>
      <c r="Y68" s="449" t="str">
        <f t="shared" ref="Y68:Y131" si="10">IF(AB68="","",IF(OR(LEFT(AB68,1)="1",LEFT(AB68,1)="2",LEFT(AB68,1)="3",LEFT(AB68,1)="4"),LEFT(AB68,1)&amp;"000","9000"))</f>
        <v>1000</v>
      </c>
      <c r="Z68" s="449" t="str">
        <f t="shared" ref="Z68:Z131" si="11">LEFT(AA68,2)</f>
        <v>33</v>
      </c>
      <c r="AA68" t="s">
        <v>1862</v>
      </c>
      <c r="AB68" t="s">
        <v>1887</v>
      </c>
      <c r="AC68">
        <v>1477.91</v>
      </c>
      <c r="AD68">
        <v>705.05</v>
      </c>
      <c r="AE68">
        <v>360.56</v>
      </c>
      <c r="AF68">
        <v>151.68</v>
      </c>
      <c r="AG68">
        <v>236.84</v>
      </c>
      <c r="AH68">
        <v>225</v>
      </c>
      <c r="AI68">
        <v>228.37</v>
      </c>
      <c r="AJ68">
        <v>231.8</v>
      </c>
      <c r="AK68">
        <v>235.28</v>
      </c>
      <c r="AL68">
        <v>238.81</v>
      </c>
      <c r="AM68">
        <v>242.39</v>
      </c>
    </row>
    <row r="69" spans="21:39" x14ac:dyDescent="0.25">
      <c r="U69" s="449" t="str">
        <f t="shared" si="7"/>
        <v>1900</v>
      </c>
      <c r="V69" s="449" t="str">
        <f t="shared" si="8"/>
        <v>19</v>
      </c>
      <c r="W69" s="449" t="str">
        <f t="shared" si="9"/>
        <v>1999</v>
      </c>
      <c r="X69" s="449" t="str">
        <f t="shared" si="6"/>
        <v>30</v>
      </c>
      <c r="Y69" s="449" t="str">
        <f t="shared" si="10"/>
        <v>1000</v>
      </c>
      <c r="Z69" s="449" t="str">
        <f t="shared" si="11"/>
        <v>33</v>
      </c>
      <c r="AA69" t="s">
        <v>1862</v>
      </c>
      <c r="AB69" t="s">
        <v>1897</v>
      </c>
      <c r="AC69">
        <v>26214.05</v>
      </c>
      <c r="AD69">
        <v>27015.47</v>
      </c>
      <c r="AE69">
        <v>24774.42</v>
      </c>
      <c r="AF69">
        <v>19801.13</v>
      </c>
      <c r="AG69">
        <v>22394.080000000002</v>
      </c>
      <c r="AH69">
        <v>20000</v>
      </c>
      <c r="AI69">
        <v>20300</v>
      </c>
      <c r="AJ69">
        <v>20604.5</v>
      </c>
      <c r="AK69">
        <v>20913.57</v>
      </c>
      <c r="AL69">
        <v>21227.27</v>
      </c>
      <c r="AM69">
        <v>21545.68</v>
      </c>
    </row>
    <row r="70" spans="21:39" x14ac:dyDescent="0.25">
      <c r="U70" s="449" t="str">
        <f t="shared" si="7"/>
        <v>3300</v>
      </c>
      <c r="V70" s="449" t="str">
        <f t="shared" si="8"/>
        <v>3000</v>
      </c>
      <c r="W70" s="449" t="str">
        <f t="shared" si="9"/>
        <v>3361</v>
      </c>
      <c r="X70" s="449" t="str">
        <f t="shared" si="6"/>
        <v>30</v>
      </c>
      <c r="Y70" s="449" t="str">
        <f t="shared" si="10"/>
        <v>3000</v>
      </c>
      <c r="Z70" s="449" t="str">
        <f t="shared" si="11"/>
        <v>33</v>
      </c>
      <c r="AA70" t="s">
        <v>1862</v>
      </c>
      <c r="AB70" t="s">
        <v>1935</v>
      </c>
      <c r="AC70">
        <v>0</v>
      </c>
      <c r="AD70">
        <v>492863.5</v>
      </c>
      <c r="AE70">
        <v>546079.63</v>
      </c>
      <c r="AF70">
        <v>523099.81</v>
      </c>
      <c r="AG70">
        <v>507037.5</v>
      </c>
      <c r="AH70">
        <v>470819.17</v>
      </c>
      <c r="AI70">
        <v>477881.46</v>
      </c>
      <c r="AJ70">
        <v>485049.68</v>
      </c>
      <c r="AK70">
        <v>492325.42</v>
      </c>
      <c r="AL70">
        <v>499710.31</v>
      </c>
      <c r="AM70">
        <v>507205.96</v>
      </c>
    </row>
    <row r="71" spans="21:39" x14ac:dyDescent="0.25">
      <c r="U71" s="449" t="str">
        <f t="shared" si="7"/>
        <v>5500</v>
      </c>
      <c r="V71" s="449" t="str">
        <f t="shared" si="8"/>
        <v>5000</v>
      </c>
      <c r="W71" s="449" t="str">
        <f t="shared" si="9"/>
        <v>5500</v>
      </c>
      <c r="X71" s="449" t="str">
        <f t="shared" si="6"/>
        <v>30</v>
      </c>
      <c r="Y71" s="449" t="str">
        <f t="shared" si="10"/>
        <v>9000</v>
      </c>
      <c r="Z71" s="449" t="str">
        <f t="shared" si="11"/>
        <v>33</v>
      </c>
      <c r="AA71" t="s">
        <v>1862</v>
      </c>
      <c r="AB71" t="s">
        <v>1936</v>
      </c>
      <c r="AC71">
        <v>0</v>
      </c>
      <c r="AD71">
        <v>0</v>
      </c>
      <c r="AE71">
        <v>0</v>
      </c>
      <c r="AF71">
        <v>195000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21:39" x14ac:dyDescent="0.25">
      <c r="U72" s="449" t="str">
        <f t="shared" si="7"/>
        <v>5900</v>
      </c>
      <c r="V72" s="449" t="str">
        <f t="shared" si="8"/>
        <v>5000</v>
      </c>
      <c r="W72" s="449" t="str">
        <f t="shared" si="9"/>
        <v>5900</v>
      </c>
      <c r="X72" s="449" t="str">
        <f t="shared" si="6"/>
        <v>30</v>
      </c>
      <c r="Y72" s="449" t="str">
        <f t="shared" si="10"/>
        <v>9000</v>
      </c>
      <c r="Z72" s="449" t="str">
        <f t="shared" si="11"/>
        <v>33</v>
      </c>
      <c r="AA72" t="s">
        <v>1862</v>
      </c>
      <c r="AB72" t="s">
        <v>1924</v>
      </c>
      <c r="AC72">
        <v>0</v>
      </c>
      <c r="AD72">
        <v>0</v>
      </c>
      <c r="AE72">
        <v>24002.400000000001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21:39" x14ac:dyDescent="0.25">
      <c r="U73" s="449" t="str">
        <f t="shared" si="7"/>
        <v>1500</v>
      </c>
      <c r="V73" s="449" t="str">
        <f t="shared" si="8"/>
        <v>15</v>
      </c>
      <c r="W73" s="449" t="str">
        <f t="shared" si="9"/>
        <v>1510</v>
      </c>
      <c r="X73" s="449" t="str">
        <f t="shared" si="6"/>
        <v>30</v>
      </c>
      <c r="Y73" s="449" t="str">
        <f t="shared" si="10"/>
        <v>1000</v>
      </c>
      <c r="Z73" s="449" t="str">
        <f t="shared" si="11"/>
        <v>34</v>
      </c>
      <c r="AA73" t="s">
        <v>1863</v>
      </c>
      <c r="AB73" t="s">
        <v>1887</v>
      </c>
      <c r="AC73">
        <v>0</v>
      </c>
      <c r="AD73">
        <v>0</v>
      </c>
      <c r="AE73">
        <v>0</v>
      </c>
      <c r="AF73">
        <v>20.420000000000002</v>
      </c>
      <c r="AG73">
        <v>7.15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21:39" x14ac:dyDescent="0.25">
      <c r="U74" s="449" t="str">
        <f t="shared" si="7"/>
        <v>5900</v>
      </c>
      <c r="V74" s="449" t="str">
        <f t="shared" si="8"/>
        <v>5000</v>
      </c>
      <c r="W74" s="449" t="str">
        <f t="shared" si="9"/>
        <v>5900</v>
      </c>
      <c r="X74" s="449" t="str">
        <f t="shared" si="6"/>
        <v>30</v>
      </c>
      <c r="Y74" s="449" t="str">
        <f t="shared" si="10"/>
        <v>9000</v>
      </c>
      <c r="Z74" s="449" t="str">
        <f t="shared" si="11"/>
        <v>34</v>
      </c>
      <c r="AA74" t="s">
        <v>1863</v>
      </c>
      <c r="AB74" t="s">
        <v>1924</v>
      </c>
      <c r="AC74">
        <v>0</v>
      </c>
      <c r="AD74">
        <v>0</v>
      </c>
      <c r="AE74">
        <v>0</v>
      </c>
      <c r="AF74">
        <v>8969.36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</row>
    <row r="75" spans="21:39" x14ac:dyDescent="0.25">
      <c r="U75" s="449" t="str">
        <f t="shared" si="7"/>
        <v>1100</v>
      </c>
      <c r="V75" s="449" t="str">
        <f t="shared" si="8"/>
        <v>1</v>
      </c>
      <c r="W75" s="449" t="str">
        <f t="shared" si="9"/>
        <v>1111</v>
      </c>
      <c r="X75" s="449" t="str">
        <f t="shared" si="6"/>
        <v>36</v>
      </c>
      <c r="Y75" s="449" t="str">
        <f t="shared" si="10"/>
        <v>1000</v>
      </c>
      <c r="Z75" s="449" t="str">
        <f t="shared" si="11"/>
        <v>36</v>
      </c>
      <c r="AA75" t="s">
        <v>1864</v>
      </c>
      <c r="AB75" t="s">
        <v>1879</v>
      </c>
      <c r="AC75">
        <v>71460.06</v>
      </c>
      <c r="AD75">
        <v>71895.289999999994</v>
      </c>
      <c r="AE75">
        <v>77831.509999999995</v>
      </c>
      <c r="AF75">
        <v>80339.41</v>
      </c>
      <c r="AG75">
        <v>79831.3</v>
      </c>
      <c r="AH75">
        <v>85918</v>
      </c>
      <c r="AI75">
        <v>88496</v>
      </c>
      <c r="AJ75">
        <v>91151</v>
      </c>
      <c r="AK75">
        <v>93885</v>
      </c>
      <c r="AL75">
        <v>96702</v>
      </c>
      <c r="AM75">
        <v>99603</v>
      </c>
    </row>
    <row r="76" spans="21:39" x14ac:dyDescent="0.25">
      <c r="U76" s="449" t="str">
        <f t="shared" si="7"/>
        <v>1100</v>
      </c>
      <c r="V76" s="449" t="str">
        <f t="shared" si="8"/>
        <v>1</v>
      </c>
      <c r="W76" s="449" t="str">
        <f t="shared" si="9"/>
        <v>1171</v>
      </c>
      <c r="X76" s="449" t="str">
        <f t="shared" si="6"/>
        <v>36</v>
      </c>
      <c r="Y76" s="449" t="str">
        <f t="shared" si="10"/>
        <v>1000</v>
      </c>
      <c r="Z76" s="449" t="str">
        <f t="shared" si="11"/>
        <v>36</v>
      </c>
      <c r="AA76" t="s">
        <v>1864</v>
      </c>
      <c r="AB76" t="s">
        <v>1882</v>
      </c>
      <c r="AC76">
        <v>3356.23</v>
      </c>
      <c r="AD76">
        <v>3794.9</v>
      </c>
      <c r="AE76">
        <v>3390.15</v>
      </c>
      <c r="AF76">
        <v>2723.08</v>
      </c>
      <c r="AG76">
        <v>3248.1</v>
      </c>
      <c r="AH76">
        <v>3200</v>
      </c>
      <c r="AI76">
        <v>3295</v>
      </c>
      <c r="AJ76">
        <v>3394</v>
      </c>
      <c r="AK76">
        <v>3496</v>
      </c>
      <c r="AL76">
        <v>3601</v>
      </c>
      <c r="AM76">
        <v>3709</v>
      </c>
    </row>
    <row r="77" spans="21:39" x14ac:dyDescent="0.25">
      <c r="U77" s="449" t="str">
        <f t="shared" si="7"/>
        <v>1500</v>
      </c>
      <c r="V77" s="449" t="str">
        <f t="shared" si="8"/>
        <v>15</v>
      </c>
      <c r="W77" s="449" t="str">
        <f t="shared" si="9"/>
        <v>1510</v>
      </c>
      <c r="X77" s="449" t="str">
        <f t="shared" si="6"/>
        <v>36</v>
      </c>
      <c r="Y77" s="449" t="str">
        <f t="shared" si="10"/>
        <v>1000</v>
      </c>
      <c r="Z77" s="449" t="str">
        <f t="shared" si="11"/>
        <v>36</v>
      </c>
      <c r="AA77" t="s">
        <v>1864</v>
      </c>
      <c r="AB77" t="s">
        <v>1887</v>
      </c>
      <c r="AC77">
        <v>32.22</v>
      </c>
      <c r="AD77">
        <v>33.39</v>
      </c>
      <c r="AE77">
        <v>25.3</v>
      </c>
      <c r="AF77">
        <v>38.630000000000003</v>
      </c>
      <c r="AG77">
        <v>45.04</v>
      </c>
      <c r="AH77">
        <v>35</v>
      </c>
      <c r="AI77">
        <v>35.520000000000003</v>
      </c>
      <c r="AJ77">
        <v>36.06</v>
      </c>
      <c r="AK77">
        <v>36.6</v>
      </c>
      <c r="AL77">
        <v>37.15</v>
      </c>
      <c r="AM77">
        <v>37.700000000000003</v>
      </c>
    </row>
    <row r="78" spans="21:39" x14ac:dyDescent="0.25">
      <c r="U78" s="449" t="str">
        <f t="shared" si="7"/>
        <v>1900</v>
      </c>
      <c r="V78" s="449" t="str">
        <f t="shared" si="8"/>
        <v>19</v>
      </c>
      <c r="W78" s="449" t="str">
        <f t="shared" si="9"/>
        <v>1999</v>
      </c>
      <c r="X78" s="449" t="str">
        <f t="shared" si="6"/>
        <v>36</v>
      </c>
      <c r="Y78" s="449" t="str">
        <f t="shared" si="10"/>
        <v>1000</v>
      </c>
      <c r="Z78" s="449" t="str">
        <f t="shared" si="11"/>
        <v>36</v>
      </c>
      <c r="AA78" t="s">
        <v>1864</v>
      </c>
      <c r="AB78" t="s">
        <v>1897</v>
      </c>
      <c r="AC78">
        <v>0</v>
      </c>
      <c r="AD78">
        <v>0</v>
      </c>
      <c r="AE78">
        <v>0</v>
      </c>
      <c r="AF78">
        <v>1759.46</v>
      </c>
      <c r="AG78">
        <v>8531</v>
      </c>
      <c r="AH78">
        <v>2500</v>
      </c>
      <c r="AI78">
        <v>2537.5</v>
      </c>
      <c r="AJ78">
        <v>2575.56</v>
      </c>
      <c r="AK78">
        <v>2614.1999999999998</v>
      </c>
      <c r="AL78">
        <v>2653.41</v>
      </c>
      <c r="AM78">
        <v>2693.21</v>
      </c>
    </row>
    <row r="79" spans="21:39" x14ac:dyDescent="0.25">
      <c r="U79" s="449" t="str">
        <f t="shared" si="7"/>
        <v>3800</v>
      </c>
      <c r="V79" s="449" t="str">
        <f t="shared" si="8"/>
        <v>3000</v>
      </c>
      <c r="W79" s="449" t="str">
        <f t="shared" si="9"/>
        <v>3801</v>
      </c>
      <c r="X79" s="449" t="str">
        <f t="shared" si="6"/>
        <v>36</v>
      </c>
      <c r="Y79" s="449" t="str">
        <f t="shared" si="10"/>
        <v>3000</v>
      </c>
      <c r="Z79" s="449" t="str">
        <f t="shared" si="11"/>
        <v>36</v>
      </c>
      <c r="AA79" t="s">
        <v>1864</v>
      </c>
      <c r="AB79" t="s">
        <v>1915</v>
      </c>
      <c r="AC79">
        <v>0</v>
      </c>
      <c r="AD79">
        <v>30.36</v>
      </c>
      <c r="AE79">
        <v>32.28</v>
      </c>
      <c r="AF79">
        <v>31.84</v>
      </c>
      <c r="AG79">
        <v>21.66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21:39" x14ac:dyDescent="0.25">
      <c r="U80" s="449" t="str">
        <f t="shared" si="7"/>
        <v>3800</v>
      </c>
      <c r="V80" s="449" t="str">
        <f t="shared" si="8"/>
        <v>1</v>
      </c>
      <c r="W80" s="449" t="str">
        <f t="shared" si="9"/>
        <v>3803</v>
      </c>
      <c r="X80" s="449" t="str">
        <f t="shared" si="6"/>
        <v>36</v>
      </c>
      <c r="Y80" s="449" t="str">
        <f t="shared" si="10"/>
        <v>3000</v>
      </c>
      <c r="Z80" s="449" t="str">
        <f t="shared" si="11"/>
        <v>36</v>
      </c>
      <c r="AA80" t="s">
        <v>1864</v>
      </c>
      <c r="AB80" t="s">
        <v>1916</v>
      </c>
      <c r="AC80">
        <v>0</v>
      </c>
      <c r="AD80">
        <v>0</v>
      </c>
      <c r="AE80">
        <v>0</v>
      </c>
      <c r="AF80">
        <v>388.88</v>
      </c>
      <c r="AG80">
        <v>354.77</v>
      </c>
      <c r="AH80">
        <v>470</v>
      </c>
      <c r="AI80">
        <v>484</v>
      </c>
      <c r="AJ80">
        <v>498</v>
      </c>
      <c r="AK80">
        <v>513</v>
      </c>
      <c r="AL80">
        <v>529</v>
      </c>
      <c r="AM80">
        <v>544</v>
      </c>
    </row>
    <row r="81" spans="21:39" x14ac:dyDescent="0.25">
      <c r="U81" s="449" t="str">
        <f t="shared" si="7"/>
        <v>1100</v>
      </c>
      <c r="V81" s="449" t="str">
        <f t="shared" si="8"/>
        <v>1</v>
      </c>
      <c r="W81" s="449" t="str">
        <f t="shared" si="9"/>
        <v>1111</v>
      </c>
      <c r="X81" s="449" t="str">
        <f t="shared" si="6"/>
        <v>40</v>
      </c>
      <c r="Y81" s="449" t="str">
        <f t="shared" si="10"/>
        <v>1000</v>
      </c>
      <c r="Z81" s="449" t="str">
        <f t="shared" si="11"/>
        <v>40</v>
      </c>
      <c r="AA81" t="s">
        <v>1865</v>
      </c>
      <c r="AB81" t="s">
        <v>1879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602564</v>
      </c>
      <c r="AJ81">
        <v>615097</v>
      </c>
      <c r="AK81">
        <v>617023</v>
      </c>
      <c r="AL81">
        <v>633415</v>
      </c>
      <c r="AM81">
        <v>640163</v>
      </c>
    </row>
    <row r="82" spans="21:39" x14ac:dyDescent="0.25">
      <c r="U82" s="449" t="str">
        <f t="shared" si="7"/>
        <v>1500</v>
      </c>
      <c r="V82" s="449" t="str">
        <f t="shared" si="8"/>
        <v>15</v>
      </c>
      <c r="W82" s="449" t="str">
        <f t="shared" si="9"/>
        <v>1510</v>
      </c>
      <c r="X82" s="449" t="str">
        <f t="shared" si="6"/>
        <v>40</v>
      </c>
      <c r="Y82" s="449" t="str">
        <f t="shared" si="10"/>
        <v>1000</v>
      </c>
      <c r="Z82" s="449" t="str">
        <f t="shared" si="11"/>
        <v>40</v>
      </c>
      <c r="AA82" t="s">
        <v>1865</v>
      </c>
      <c r="AB82" t="s">
        <v>1887</v>
      </c>
      <c r="AC82">
        <v>92.75</v>
      </c>
      <c r="AD82">
        <v>0</v>
      </c>
      <c r="AE82">
        <v>30.79</v>
      </c>
      <c r="AF82">
        <v>444.68</v>
      </c>
      <c r="AG82">
        <v>1363.42</v>
      </c>
      <c r="AH82">
        <v>1363.42</v>
      </c>
      <c r="AI82">
        <v>1383.87</v>
      </c>
      <c r="AJ82">
        <v>1404.63</v>
      </c>
      <c r="AK82">
        <v>1425.7</v>
      </c>
      <c r="AL82">
        <v>1447.08</v>
      </c>
      <c r="AM82">
        <v>1468.79</v>
      </c>
    </row>
    <row r="83" spans="21:39" x14ac:dyDescent="0.25">
      <c r="U83" s="449" t="str">
        <f t="shared" si="7"/>
        <v>5200</v>
      </c>
      <c r="V83" s="449" t="str">
        <f t="shared" si="8"/>
        <v>5000</v>
      </c>
      <c r="W83" s="449" t="str">
        <f t="shared" si="9"/>
        <v>5233</v>
      </c>
      <c r="X83" s="449" t="str">
        <f t="shared" si="6"/>
        <v>40</v>
      </c>
      <c r="Y83" s="449" t="str">
        <f t="shared" si="10"/>
        <v>9000</v>
      </c>
      <c r="Z83" s="449" t="str">
        <f t="shared" si="11"/>
        <v>40</v>
      </c>
      <c r="AA83" t="s">
        <v>1865</v>
      </c>
      <c r="AB83" t="s">
        <v>1937</v>
      </c>
      <c r="AC83">
        <v>308627.75</v>
      </c>
      <c r="AD83">
        <v>223587.6</v>
      </c>
      <c r="AE83">
        <v>304265.27</v>
      </c>
      <c r="AF83">
        <v>293637.37</v>
      </c>
      <c r="AG83">
        <v>288174.84999999998</v>
      </c>
      <c r="AH83">
        <v>288032.90000000002</v>
      </c>
      <c r="AI83">
        <v>292353.39</v>
      </c>
      <c r="AJ83">
        <v>296738.69</v>
      </c>
      <c r="AK83">
        <v>301189.77</v>
      </c>
      <c r="AL83">
        <v>305707.62</v>
      </c>
      <c r="AM83">
        <v>310293.24</v>
      </c>
    </row>
    <row r="84" spans="21:39" x14ac:dyDescent="0.25">
      <c r="U84" s="449" t="str">
        <f t="shared" si="7"/>
        <v>5900</v>
      </c>
      <c r="V84" s="449" t="str">
        <f t="shared" si="8"/>
        <v>5000</v>
      </c>
      <c r="W84" s="449" t="str">
        <f t="shared" si="9"/>
        <v>5900</v>
      </c>
      <c r="X84" s="449" t="str">
        <f t="shared" si="6"/>
        <v>40</v>
      </c>
      <c r="Y84" s="449" t="str">
        <f t="shared" si="10"/>
        <v>9000</v>
      </c>
      <c r="Z84" s="449" t="str">
        <f t="shared" si="11"/>
        <v>40</v>
      </c>
      <c r="AA84" t="s">
        <v>1865</v>
      </c>
      <c r="AB84" t="s">
        <v>1924</v>
      </c>
      <c r="AC84">
        <v>0</v>
      </c>
      <c r="AD84">
        <v>0</v>
      </c>
      <c r="AE84">
        <v>4062.58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21:39" x14ac:dyDescent="0.25">
      <c r="U85" s="449" t="str">
        <f t="shared" si="7"/>
        <v>1500</v>
      </c>
      <c r="V85" s="449" t="str">
        <f t="shared" si="8"/>
        <v>15</v>
      </c>
      <c r="W85" s="449" t="str">
        <f t="shared" si="9"/>
        <v>1510</v>
      </c>
      <c r="X85" s="449" t="str">
        <f t="shared" si="6"/>
        <v>61</v>
      </c>
      <c r="Y85" s="449" t="str">
        <f t="shared" si="10"/>
        <v>1000</v>
      </c>
      <c r="Z85" s="449" t="str">
        <f t="shared" si="11"/>
        <v>61</v>
      </c>
      <c r="AA85" t="s">
        <v>1866</v>
      </c>
      <c r="AB85" t="s">
        <v>1887</v>
      </c>
      <c r="AC85">
        <v>8.0299999999999994</v>
      </c>
      <c r="AD85">
        <v>5.47</v>
      </c>
      <c r="AE85">
        <v>4.9000000000000004</v>
      </c>
      <c r="AF85">
        <v>7.79</v>
      </c>
      <c r="AG85">
        <v>17.37</v>
      </c>
      <c r="AH85">
        <v>17.37</v>
      </c>
      <c r="AI85">
        <v>17.63</v>
      </c>
      <c r="AJ85">
        <v>17.899999999999999</v>
      </c>
      <c r="AK85">
        <v>18.16</v>
      </c>
      <c r="AL85">
        <v>18.440000000000001</v>
      </c>
      <c r="AM85">
        <v>18.71</v>
      </c>
    </row>
    <row r="86" spans="21:39" x14ac:dyDescent="0.25">
      <c r="U86" s="449" t="str">
        <f t="shared" si="7"/>
        <v>1600</v>
      </c>
      <c r="V86" s="449" t="str">
        <f t="shared" si="8"/>
        <v>19</v>
      </c>
      <c r="W86" s="449" t="str">
        <f t="shared" si="9"/>
        <v>1611</v>
      </c>
      <c r="X86" s="449" t="str">
        <f t="shared" si="6"/>
        <v>61</v>
      </c>
      <c r="Y86" s="449" t="str">
        <f t="shared" si="10"/>
        <v>1000</v>
      </c>
      <c r="Z86" s="449" t="str">
        <f t="shared" si="11"/>
        <v>61</v>
      </c>
      <c r="AA86" t="s">
        <v>1866</v>
      </c>
      <c r="AB86" t="s">
        <v>1938</v>
      </c>
      <c r="AC86">
        <v>162601.49</v>
      </c>
      <c r="AD86">
        <v>121454.97</v>
      </c>
      <c r="AE86">
        <v>120006.03</v>
      </c>
      <c r="AF86">
        <v>111440.42</v>
      </c>
      <c r="AG86">
        <v>112113.08</v>
      </c>
      <c r="AH86">
        <v>112113.08</v>
      </c>
      <c r="AI86">
        <v>113794.78</v>
      </c>
      <c r="AJ86">
        <v>115501.7</v>
      </c>
      <c r="AK86">
        <v>117234.22</v>
      </c>
      <c r="AL86">
        <v>118992.74</v>
      </c>
      <c r="AM86">
        <v>120777.63</v>
      </c>
    </row>
    <row r="87" spans="21:39" x14ac:dyDescent="0.25">
      <c r="U87" s="449" t="str">
        <f t="shared" si="7"/>
        <v>1600</v>
      </c>
      <c r="V87" s="449" t="str">
        <f t="shared" si="8"/>
        <v>19</v>
      </c>
      <c r="W87" s="449" t="str">
        <f t="shared" si="9"/>
        <v>1612</v>
      </c>
      <c r="X87" s="449" t="str">
        <f t="shared" si="6"/>
        <v>61</v>
      </c>
      <c r="Y87" s="449" t="str">
        <f t="shared" si="10"/>
        <v>1000</v>
      </c>
      <c r="Z87" s="449" t="str">
        <f t="shared" si="11"/>
        <v>61</v>
      </c>
      <c r="AA87" t="s">
        <v>1866</v>
      </c>
      <c r="AB87" t="s">
        <v>1939</v>
      </c>
      <c r="AC87">
        <v>0</v>
      </c>
      <c r="AD87">
        <v>14717.88</v>
      </c>
      <c r="AE87">
        <v>16276.55</v>
      </c>
      <c r="AF87">
        <v>16734.39</v>
      </c>
      <c r="AG87">
        <v>18085.580000000002</v>
      </c>
      <c r="AH87">
        <v>18085.580000000002</v>
      </c>
      <c r="AI87">
        <v>18356.86</v>
      </c>
      <c r="AJ87">
        <v>18632.22</v>
      </c>
      <c r="AK87">
        <v>18911.7</v>
      </c>
      <c r="AL87">
        <v>19195.38</v>
      </c>
      <c r="AM87">
        <v>19483.310000000001</v>
      </c>
    </row>
    <row r="88" spans="21:39" x14ac:dyDescent="0.25">
      <c r="U88" s="449" t="str">
        <f t="shared" si="7"/>
        <v>1600</v>
      </c>
      <c r="V88" s="449" t="str">
        <f t="shared" si="8"/>
        <v>19</v>
      </c>
      <c r="W88" s="449" t="str">
        <f t="shared" si="9"/>
        <v>1621</v>
      </c>
      <c r="X88" s="449" t="str">
        <f t="shared" si="6"/>
        <v>61</v>
      </c>
      <c r="Y88" s="449" t="str">
        <f t="shared" si="10"/>
        <v>1000</v>
      </c>
      <c r="Z88" s="449" t="str">
        <f t="shared" si="11"/>
        <v>61</v>
      </c>
      <c r="AA88" t="s">
        <v>1866</v>
      </c>
      <c r="AB88" t="s">
        <v>1940</v>
      </c>
      <c r="AC88">
        <v>0</v>
      </c>
      <c r="AD88">
        <v>21914.27</v>
      </c>
      <c r="AE88">
        <v>26690.85</v>
      </c>
      <c r="AF88">
        <v>36591.49</v>
      </c>
      <c r="AG88">
        <v>29314.18</v>
      </c>
      <c r="AH88">
        <v>29314.18</v>
      </c>
      <c r="AI88">
        <v>29753.89</v>
      </c>
      <c r="AJ88">
        <v>30200.2</v>
      </c>
      <c r="AK88">
        <v>30653.200000000001</v>
      </c>
      <c r="AL88">
        <v>31113</v>
      </c>
      <c r="AM88">
        <v>31579.7</v>
      </c>
    </row>
    <row r="89" spans="21:39" x14ac:dyDescent="0.25">
      <c r="U89" s="449" t="str">
        <f t="shared" si="7"/>
        <v>1600</v>
      </c>
      <c r="V89" s="449" t="str">
        <f t="shared" si="8"/>
        <v>19</v>
      </c>
      <c r="W89" s="449" t="str">
        <f t="shared" si="9"/>
        <v>1622</v>
      </c>
      <c r="X89" s="449" t="str">
        <f t="shared" si="6"/>
        <v>61</v>
      </c>
      <c r="Y89" s="449" t="str">
        <f t="shared" si="10"/>
        <v>1000</v>
      </c>
      <c r="Z89" s="449" t="str">
        <f t="shared" si="11"/>
        <v>61</v>
      </c>
      <c r="AA89" t="s">
        <v>1866</v>
      </c>
      <c r="AB89" t="s">
        <v>1941</v>
      </c>
      <c r="AC89">
        <v>9737.75</v>
      </c>
      <c r="AD89">
        <v>9729.49</v>
      </c>
      <c r="AE89">
        <v>10449.9</v>
      </c>
      <c r="AF89">
        <v>10351.969999999999</v>
      </c>
      <c r="AG89">
        <v>10942.81</v>
      </c>
      <c r="AH89">
        <v>10942.81</v>
      </c>
      <c r="AI89">
        <v>11106.95</v>
      </c>
      <c r="AJ89">
        <v>11273.56</v>
      </c>
      <c r="AK89">
        <v>11442.66</v>
      </c>
      <c r="AL89">
        <v>11614.3</v>
      </c>
      <c r="AM89">
        <v>11788.51</v>
      </c>
    </row>
    <row r="90" spans="21:39" x14ac:dyDescent="0.25">
      <c r="U90" s="449" t="str">
        <f t="shared" si="7"/>
        <v>1600</v>
      </c>
      <c r="V90" s="449" t="str">
        <f t="shared" si="8"/>
        <v>19</v>
      </c>
      <c r="W90" s="449" t="str">
        <f t="shared" si="9"/>
        <v>1623</v>
      </c>
      <c r="X90" s="449" t="str">
        <f t="shared" si="6"/>
        <v>61</v>
      </c>
      <c r="Y90" s="449" t="str">
        <f t="shared" si="10"/>
        <v>1000</v>
      </c>
      <c r="Z90" s="449" t="str">
        <f t="shared" si="11"/>
        <v>61</v>
      </c>
      <c r="AA90" t="s">
        <v>1866</v>
      </c>
      <c r="AB90" t="s">
        <v>1942</v>
      </c>
      <c r="AC90">
        <v>0</v>
      </c>
      <c r="AD90">
        <v>387.95</v>
      </c>
      <c r="AE90">
        <v>416.15</v>
      </c>
      <c r="AF90">
        <v>153.76</v>
      </c>
      <c r="AG90">
        <v>83.24</v>
      </c>
      <c r="AH90">
        <v>83.24</v>
      </c>
      <c r="AI90">
        <v>84.49</v>
      </c>
      <c r="AJ90">
        <v>85.76</v>
      </c>
      <c r="AK90">
        <v>87.04</v>
      </c>
      <c r="AL90">
        <v>88.35</v>
      </c>
      <c r="AM90">
        <v>89.67</v>
      </c>
    </row>
    <row r="91" spans="21:39" x14ac:dyDescent="0.25">
      <c r="U91" s="449" t="str">
        <f t="shared" si="7"/>
        <v>1600</v>
      </c>
      <c r="V91" s="449" t="str">
        <f t="shared" si="8"/>
        <v>19</v>
      </c>
      <c r="W91" s="449" t="str">
        <f t="shared" si="9"/>
        <v>1632</v>
      </c>
      <c r="X91" s="449" t="str">
        <f t="shared" si="6"/>
        <v>61</v>
      </c>
      <c r="Y91" s="449" t="str">
        <f t="shared" si="10"/>
        <v>1000</v>
      </c>
      <c r="Z91" s="449" t="str">
        <f t="shared" si="11"/>
        <v>61</v>
      </c>
      <c r="AA91" t="s">
        <v>1866</v>
      </c>
      <c r="AB91" t="s">
        <v>1943</v>
      </c>
      <c r="AC91">
        <v>2415.9499999999998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</row>
    <row r="92" spans="21:39" x14ac:dyDescent="0.25">
      <c r="U92" s="449" t="str">
        <f t="shared" si="7"/>
        <v>1900</v>
      </c>
      <c r="V92" s="449" t="str">
        <f t="shared" si="8"/>
        <v>19</v>
      </c>
      <c r="W92" s="449" t="str">
        <f t="shared" si="9"/>
        <v>1989</v>
      </c>
      <c r="X92" s="449" t="str">
        <f t="shared" si="6"/>
        <v>61</v>
      </c>
      <c r="Y92" s="449" t="str">
        <f t="shared" si="10"/>
        <v>1000</v>
      </c>
      <c r="Z92" s="449" t="str">
        <f t="shared" si="11"/>
        <v>61</v>
      </c>
      <c r="AA92" t="s">
        <v>1866</v>
      </c>
      <c r="AB92" t="s">
        <v>1894</v>
      </c>
      <c r="AC92">
        <v>0</v>
      </c>
      <c r="AD92">
        <v>0</v>
      </c>
      <c r="AE92">
        <v>3.9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</row>
    <row r="93" spans="21:39" x14ac:dyDescent="0.25">
      <c r="U93" s="449" t="str">
        <f t="shared" si="7"/>
        <v>1900</v>
      </c>
      <c r="V93" s="449" t="str">
        <f t="shared" si="8"/>
        <v>19</v>
      </c>
      <c r="W93" s="449" t="str">
        <f t="shared" si="9"/>
        <v>1998</v>
      </c>
      <c r="X93" s="449" t="str">
        <f t="shared" si="6"/>
        <v>61</v>
      </c>
      <c r="Y93" s="449" t="str">
        <f t="shared" si="10"/>
        <v>1000</v>
      </c>
      <c r="Z93" s="449" t="str">
        <f t="shared" si="11"/>
        <v>61</v>
      </c>
      <c r="AA93" t="s">
        <v>1866</v>
      </c>
      <c r="AB93" t="s">
        <v>1944</v>
      </c>
      <c r="AC93">
        <v>0</v>
      </c>
      <c r="AD93">
        <v>100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</row>
    <row r="94" spans="21:39" x14ac:dyDescent="0.25">
      <c r="U94" s="449" t="str">
        <f t="shared" si="7"/>
        <v>1900</v>
      </c>
      <c r="V94" s="449" t="str">
        <f t="shared" si="8"/>
        <v>19</v>
      </c>
      <c r="W94" s="449" t="str">
        <f t="shared" si="9"/>
        <v>1999</v>
      </c>
      <c r="X94" s="449" t="str">
        <f t="shared" si="6"/>
        <v>61</v>
      </c>
      <c r="Y94" s="449" t="str">
        <f t="shared" si="10"/>
        <v>1000</v>
      </c>
      <c r="Z94" s="449" t="str">
        <f t="shared" si="11"/>
        <v>61</v>
      </c>
      <c r="AA94" t="s">
        <v>1866</v>
      </c>
      <c r="AB94" t="s">
        <v>1897</v>
      </c>
      <c r="AC94">
        <v>614.04999999999995</v>
      </c>
      <c r="AD94">
        <v>607</v>
      </c>
      <c r="AE94">
        <v>1627.54</v>
      </c>
      <c r="AF94">
        <v>1530.62</v>
      </c>
      <c r="AG94">
        <v>1185.22</v>
      </c>
      <c r="AH94">
        <v>1185.22</v>
      </c>
      <c r="AI94">
        <v>1203</v>
      </c>
      <c r="AJ94">
        <v>1221.04</v>
      </c>
      <c r="AK94">
        <v>1239.3599999999999</v>
      </c>
      <c r="AL94">
        <v>1257.95</v>
      </c>
      <c r="AM94">
        <v>1276.82</v>
      </c>
    </row>
    <row r="95" spans="21:39" x14ac:dyDescent="0.25">
      <c r="U95" s="449" t="str">
        <f t="shared" si="7"/>
        <v>3200</v>
      </c>
      <c r="V95" s="449" t="str">
        <f t="shared" si="8"/>
        <v>3000</v>
      </c>
      <c r="W95" s="449" t="str">
        <f t="shared" si="9"/>
        <v>3251</v>
      </c>
      <c r="X95" s="449" t="str">
        <f t="shared" si="6"/>
        <v>61</v>
      </c>
      <c r="Y95" s="449" t="str">
        <f t="shared" si="10"/>
        <v>3000</v>
      </c>
      <c r="Z95" s="449" t="str">
        <f t="shared" si="11"/>
        <v>61</v>
      </c>
      <c r="AA95" t="s">
        <v>1866</v>
      </c>
      <c r="AB95" t="s">
        <v>1945</v>
      </c>
      <c r="AC95">
        <v>2576.44</v>
      </c>
      <c r="AD95">
        <v>2588.6</v>
      </c>
      <c r="AE95">
        <v>2505.88</v>
      </c>
      <c r="AF95">
        <v>2076.21</v>
      </c>
      <c r="AG95">
        <v>1575.7</v>
      </c>
      <c r="AH95">
        <v>1575.7</v>
      </c>
      <c r="AI95">
        <v>1599.34</v>
      </c>
      <c r="AJ95">
        <v>1623.33</v>
      </c>
      <c r="AK95">
        <v>1647.68</v>
      </c>
      <c r="AL95">
        <v>1672.39</v>
      </c>
      <c r="AM95">
        <v>1697.48</v>
      </c>
    </row>
    <row r="96" spans="21:39" x14ac:dyDescent="0.25">
      <c r="U96" s="449" t="str">
        <f t="shared" si="7"/>
        <v>3200</v>
      </c>
      <c r="V96" s="449" t="str">
        <f t="shared" si="8"/>
        <v>3000</v>
      </c>
      <c r="W96" s="449" t="str">
        <f t="shared" si="9"/>
        <v>3252</v>
      </c>
      <c r="X96" s="449" t="str">
        <f t="shared" ref="X96:X159" si="12">IF(Z96="","",IF(OR(Z96="21",Z96="22",Z96="36",Z96="61",Z96="24"),Z96,LEFT(Z96,1)&amp;"0"))</f>
        <v>61</v>
      </c>
      <c r="Y96" s="449" t="str">
        <f t="shared" si="10"/>
        <v>3000</v>
      </c>
      <c r="Z96" s="449" t="str">
        <f t="shared" si="11"/>
        <v>61</v>
      </c>
      <c r="AA96" t="s">
        <v>1866</v>
      </c>
      <c r="AB96" t="s">
        <v>1946</v>
      </c>
      <c r="AC96">
        <v>544.58000000000004</v>
      </c>
      <c r="AD96">
        <v>479.94</v>
      </c>
      <c r="AE96">
        <v>549.12</v>
      </c>
      <c r="AF96">
        <v>662.55</v>
      </c>
      <c r="AG96">
        <v>1081.18</v>
      </c>
      <c r="AH96">
        <v>1081.18</v>
      </c>
      <c r="AI96">
        <v>1097.4000000000001</v>
      </c>
      <c r="AJ96">
        <v>1113.8599999999999</v>
      </c>
      <c r="AK96">
        <v>1130.57</v>
      </c>
      <c r="AL96">
        <v>1147.53</v>
      </c>
      <c r="AM96">
        <v>1164.74</v>
      </c>
    </row>
    <row r="97" spans="21:39" x14ac:dyDescent="0.25">
      <c r="U97" s="449" t="str">
        <f t="shared" si="7"/>
        <v>4500</v>
      </c>
      <c r="V97" s="449" t="str">
        <f t="shared" si="8"/>
        <v>4000</v>
      </c>
      <c r="W97" s="449" t="str">
        <f t="shared" si="9"/>
        <v>4552</v>
      </c>
      <c r="X97" s="449" t="str">
        <f t="shared" si="12"/>
        <v>61</v>
      </c>
      <c r="Y97" s="449" t="str">
        <f t="shared" si="10"/>
        <v>4000</v>
      </c>
      <c r="Z97" s="449" t="str">
        <f t="shared" si="11"/>
        <v>61</v>
      </c>
      <c r="AA97" t="s">
        <v>1866</v>
      </c>
      <c r="AB97" t="s">
        <v>1947</v>
      </c>
      <c r="AC97">
        <v>28733.64</v>
      </c>
      <c r="AD97">
        <v>27327.95</v>
      </c>
      <c r="AE97">
        <v>31725.29</v>
      </c>
      <c r="AF97">
        <v>29561.64</v>
      </c>
      <c r="AG97">
        <v>28278.73</v>
      </c>
      <c r="AH97">
        <v>28278.73</v>
      </c>
      <c r="AI97">
        <v>28702.91</v>
      </c>
      <c r="AJ97">
        <v>29133.45</v>
      </c>
      <c r="AK97">
        <v>29570.46</v>
      </c>
      <c r="AL97">
        <v>30014.01</v>
      </c>
      <c r="AM97">
        <v>30464.22</v>
      </c>
    </row>
    <row r="98" spans="21:39" x14ac:dyDescent="0.25">
      <c r="U98" s="449" t="str">
        <f t="shared" si="7"/>
        <v>4500</v>
      </c>
      <c r="V98" s="449" t="str">
        <f t="shared" si="8"/>
        <v>4000</v>
      </c>
      <c r="W98" s="449" t="str">
        <f t="shared" si="9"/>
        <v>4553</v>
      </c>
      <c r="X98" s="449" t="str">
        <f t="shared" si="12"/>
        <v>61</v>
      </c>
      <c r="Y98" s="449" t="str">
        <f t="shared" si="10"/>
        <v>4000</v>
      </c>
      <c r="Z98" s="449" t="str">
        <f t="shared" si="11"/>
        <v>61</v>
      </c>
      <c r="AA98" t="s">
        <v>1866</v>
      </c>
      <c r="AB98" t="s">
        <v>1948</v>
      </c>
      <c r="AC98">
        <v>114596.53</v>
      </c>
      <c r="AD98">
        <v>119225.95</v>
      </c>
      <c r="AE98">
        <v>112572.26</v>
      </c>
      <c r="AF98">
        <v>113101.91</v>
      </c>
      <c r="AG98">
        <v>113312.44</v>
      </c>
      <c r="AH98">
        <v>113312.44</v>
      </c>
      <c r="AI98">
        <v>115012.13</v>
      </c>
      <c r="AJ98">
        <v>116737.31</v>
      </c>
      <c r="AK98">
        <v>118488.37</v>
      </c>
      <c r="AL98">
        <v>120265.69</v>
      </c>
      <c r="AM98">
        <v>122069.68</v>
      </c>
    </row>
    <row r="99" spans="21:39" x14ac:dyDescent="0.25">
      <c r="U99" s="449" t="str">
        <f t="shared" si="7"/>
        <v>4900</v>
      </c>
      <c r="V99" s="449" t="str">
        <f t="shared" si="8"/>
        <v>4000</v>
      </c>
      <c r="W99" s="449" t="str">
        <f t="shared" si="9"/>
        <v>4951</v>
      </c>
      <c r="X99" s="449" t="str">
        <f t="shared" si="12"/>
        <v>61</v>
      </c>
      <c r="Y99" s="449" t="str">
        <f t="shared" si="10"/>
        <v>4000</v>
      </c>
      <c r="Z99" s="449" t="str">
        <f t="shared" si="11"/>
        <v>61</v>
      </c>
      <c r="AA99" t="s">
        <v>1866</v>
      </c>
      <c r="AB99" t="s">
        <v>1949</v>
      </c>
      <c r="AC99">
        <v>24679.83</v>
      </c>
      <c r="AD99">
        <v>23812.43</v>
      </c>
      <c r="AE99">
        <v>24926.77</v>
      </c>
      <c r="AF99">
        <v>25202.57</v>
      </c>
      <c r="AG99">
        <v>24755.45</v>
      </c>
      <c r="AH99">
        <v>24755.45</v>
      </c>
      <c r="AI99">
        <v>25126.78</v>
      </c>
      <c r="AJ99">
        <v>25503.68</v>
      </c>
      <c r="AK99">
        <v>25886.240000000002</v>
      </c>
      <c r="AL99">
        <v>26274.53</v>
      </c>
      <c r="AM99">
        <v>26668.65</v>
      </c>
    </row>
    <row r="100" spans="21:39" x14ac:dyDescent="0.25">
      <c r="U100" s="449" t="str">
        <f t="shared" si="7"/>
        <v>5900</v>
      </c>
      <c r="V100" s="449" t="str">
        <f t="shared" si="8"/>
        <v>5000</v>
      </c>
      <c r="W100" s="449" t="str">
        <f t="shared" si="9"/>
        <v>5900</v>
      </c>
      <c r="X100" s="449" t="str">
        <f t="shared" si="12"/>
        <v>61</v>
      </c>
      <c r="Y100" s="449" t="str">
        <f t="shared" si="10"/>
        <v>9000</v>
      </c>
      <c r="Z100" s="449" t="str">
        <f t="shared" si="11"/>
        <v>61</v>
      </c>
      <c r="AA100" t="s">
        <v>1866</v>
      </c>
      <c r="AB100" t="s">
        <v>1924</v>
      </c>
      <c r="AC100">
        <v>0</v>
      </c>
      <c r="AD100">
        <v>0</v>
      </c>
      <c r="AE100">
        <v>2711.4</v>
      </c>
      <c r="AF100">
        <v>0</v>
      </c>
      <c r="AG100">
        <v>878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</row>
    <row r="101" spans="21:39" x14ac:dyDescent="0.25">
      <c r="U101" s="449" t="str">
        <f t="shared" si="7"/>
        <v>6100</v>
      </c>
      <c r="V101" s="449" t="str">
        <f t="shared" si="8"/>
        <v>6000</v>
      </c>
      <c r="W101" s="449" t="str">
        <f t="shared" si="9"/>
        <v>6100</v>
      </c>
      <c r="X101" s="449" t="str">
        <f t="shared" si="12"/>
        <v>61</v>
      </c>
      <c r="Y101" s="449" t="str">
        <f t="shared" si="10"/>
        <v>9000</v>
      </c>
      <c r="Z101" s="449" t="str">
        <f t="shared" si="11"/>
        <v>61</v>
      </c>
      <c r="AA101" t="s">
        <v>1866</v>
      </c>
      <c r="AB101" t="s">
        <v>1950</v>
      </c>
      <c r="AC101">
        <v>775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</row>
    <row r="102" spans="21:39" x14ac:dyDescent="0.25">
      <c r="U102" s="449" t="str">
        <f t="shared" si="7"/>
        <v>1900</v>
      </c>
      <c r="V102" s="449" t="str">
        <f t="shared" si="8"/>
        <v>19</v>
      </c>
      <c r="W102" s="449" t="str">
        <f t="shared" si="9"/>
        <v>1970</v>
      </c>
      <c r="X102" s="449" t="str">
        <f t="shared" si="12"/>
        <v>70</v>
      </c>
      <c r="Y102" s="449" t="str">
        <f t="shared" si="10"/>
        <v>1000</v>
      </c>
      <c r="Z102" s="449" t="str">
        <f t="shared" si="11"/>
        <v>71</v>
      </c>
      <c r="AA102" t="s">
        <v>1867</v>
      </c>
      <c r="AB102" t="s">
        <v>1951</v>
      </c>
      <c r="AC102">
        <v>0</v>
      </c>
      <c r="AD102">
        <v>0</v>
      </c>
      <c r="AE102">
        <v>0</v>
      </c>
      <c r="AF102">
        <v>2716.58</v>
      </c>
      <c r="AG102">
        <v>32568.7</v>
      </c>
      <c r="AH102">
        <v>32568.7</v>
      </c>
      <c r="AI102">
        <v>33057.230000000003</v>
      </c>
      <c r="AJ102">
        <v>33553.089999999997</v>
      </c>
      <c r="AK102">
        <v>34056.39</v>
      </c>
      <c r="AL102">
        <v>34567.230000000003</v>
      </c>
      <c r="AM102">
        <v>35085.74</v>
      </c>
    </row>
    <row r="103" spans="21:39" x14ac:dyDescent="0.25">
      <c r="U103" s="449" t="str">
        <f t="shared" si="7"/>
        <v>1900</v>
      </c>
      <c r="V103" s="449" t="str">
        <f t="shared" si="8"/>
        <v>19</v>
      </c>
      <c r="W103" s="449" t="str">
        <f t="shared" si="9"/>
        <v>1999</v>
      </c>
      <c r="X103" s="449" t="str">
        <f t="shared" si="12"/>
        <v>80</v>
      </c>
      <c r="Y103" s="449" t="str">
        <f t="shared" si="10"/>
        <v>1000</v>
      </c>
      <c r="Z103" s="449" t="str">
        <f t="shared" si="11"/>
        <v>81</v>
      </c>
      <c r="AA103" t="s">
        <v>1868</v>
      </c>
      <c r="AB103" t="s">
        <v>1897</v>
      </c>
      <c r="AC103">
        <v>0</v>
      </c>
      <c r="AD103">
        <v>0</v>
      </c>
      <c r="AE103">
        <v>0</v>
      </c>
      <c r="AF103">
        <v>2395</v>
      </c>
      <c r="AG103">
        <v>2300.5</v>
      </c>
      <c r="AH103">
        <v>2300.5</v>
      </c>
      <c r="AI103">
        <v>2335.0100000000002</v>
      </c>
      <c r="AJ103">
        <v>2370.0300000000002</v>
      </c>
      <c r="AK103">
        <v>2405.58</v>
      </c>
      <c r="AL103">
        <v>2441.67</v>
      </c>
      <c r="AM103">
        <v>2478.29</v>
      </c>
    </row>
    <row r="104" spans="21:39" x14ac:dyDescent="0.25">
      <c r="U104" s="449" t="str">
        <f t="shared" si="7"/>
        <v>5900</v>
      </c>
      <c r="V104" s="449" t="str">
        <f t="shared" si="8"/>
        <v>5000</v>
      </c>
      <c r="W104" s="449" t="str">
        <f t="shared" si="9"/>
        <v>5900</v>
      </c>
      <c r="X104" s="449" t="str">
        <f t="shared" si="12"/>
        <v>80</v>
      </c>
      <c r="Y104" s="449" t="str">
        <f t="shared" si="10"/>
        <v>9000</v>
      </c>
      <c r="Z104" s="449" t="str">
        <f t="shared" si="11"/>
        <v>81</v>
      </c>
      <c r="AA104" t="s">
        <v>1868</v>
      </c>
      <c r="AB104" t="s">
        <v>1924</v>
      </c>
      <c r="AC104">
        <v>0</v>
      </c>
      <c r="AD104">
        <v>0</v>
      </c>
      <c r="AE104">
        <v>0</v>
      </c>
      <c r="AF104">
        <v>204551.2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</row>
    <row r="105" spans="21:39" x14ac:dyDescent="0.25">
      <c r="U105" s="449" t="str">
        <f t="shared" si="7"/>
        <v/>
      </c>
      <c r="V105" s="449" t="str">
        <f t="shared" si="8"/>
        <v/>
      </c>
      <c r="W105" s="449" t="str">
        <f t="shared" si="9"/>
        <v/>
      </c>
      <c r="X105" s="449" t="str">
        <f t="shared" si="12"/>
        <v/>
      </c>
      <c r="Y105" s="449" t="str">
        <f t="shared" si="10"/>
        <v/>
      </c>
      <c r="Z105" s="449" t="str">
        <f t="shared" si="11"/>
        <v/>
      </c>
    </row>
    <row r="106" spans="21:39" x14ac:dyDescent="0.25">
      <c r="U106" s="449" t="str">
        <f t="shared" si="7"/>
        <v/>
      </c>
      <c r="V106" s="449" t="str">
        <f t="shared" si="8"/>
        <v/>
      </c>
      <c r="W106" s="449" t="str">
        <f t="shared" si="9"/>
        <v/>
      </c>
      <c r="X106" s="449" t="str">
        <f t="shared" si="12"/>
        <v/>
      </c>
      <c r="Y106" s="449" t="str">
        <f t="shared" si="10"/>
        <v/>
      </c>
      <c r="Z106" s="449" t="str">
        <f t="shared" si="11"/>
        <v/>
      </c>
    </row>
    <row r="107" spans="21:39" x14ac:dyDescent="0.25">
      <c r="U107" s="449" t="str">
        <f t="shared" si="7"/>
        <v/>
      </c>
      <c r="V107" s="449" t="str">
        <f t="shared" si="8"/>
        <v/>
      </c>
      <c r="W107" s="449" t="str">
        <f t="shared" si="9"/>
        <v/>
      </c>
      <c r="X107" s="449" t="str">
        <f t="shared" si="12"/>
        <v/>
      </c>
      <c r="Y107" s="449" t="str">
        <f t="shared" si="10"/>
        <v/>
      </c>
      <c r="Z107" s="449" t="str">
        <f t="shared" si="11"/>
        <v/>
      </c>
    </row>
    <row r="108" spans="21:39" x14ac:dyDescent="0.25">
      <c r="U108" s="449" t="str">
        <f t="shared" si="7"/>
        <v/>
      </c>
      <c r="V108" s="449" t="str">
        <f t="shared" si="8"/>
        <v/>
      </c>
      <c r="W108" s="449" t="str">
        <f t="shared" si="9"/>
        <v/>
      </c>
      <c r="X108" s="449" t="str">
        <f t="shared" si="12"/>
        <v/>
      </c>
      <c r="Y108" s="449" t="str">
        <f t="shared" si="10"/>
        <v/>
      </c>
      <c r="Z108" s="449" t="str">
        <f t="shared" si="11"/>
        <v/>
      </c>
    </row>
    <row r="109" spans="21:39" x14ac:dyDescent="0.25">
      <c r="U109" s="449" t="str">
        <f t="shared" si="7"/>
        <v/>
      </c>
      <c r="V109" s="449" t="str">
        <f t="shared" si="8"/>
        <v/>
      </c>
      <c r="W109" s="449" t="str">
        <f t="shared" si="9"/>
        <v/>
      </c>
      <c r="X109" s="449" t="str">
        <f t="shared" si="12"/>
        <v/>
      </c>
      <c r="Y109" s="449" t="str">
        <f t="shared" si="10"/>
        <v/>
      </c>
      <c r="Z109" s="449" t="str">
        <f t="shared" si="11"/>
        <v/>
      </c>
    </row>
    <row r="110" spans="21:39" x14ac:dyDescent="0.25">
      <c r="U110" s="449" t="str">
        <f t="shared" si="7"/>
        <v/>
      </c>
      <c r="V110" s="449" t="str">
        <f t="shared" si="8"/>
        <v/>
      </c>
      <c r="W110" s="449" t="str">
        <f t="shared" si="9"/>
        <v/>
      </c>
      <c r="X110" s="449" t="str">
        <f t="shared" si="12"/>
        <v/>
      </c>
      <c r="Y110" s="449" t="str">
        <f t="shared" si="10"/>
        <v/>
      </c>
      <c r="Z110" s="449" t="str">
        <f t="shared" si="11"/>
        <v/>
      </c>
    </row>
    <row r="111" spans="21:39" x14ac:dyDescent="0.25">
      <c r="U111" s="449" t="str">
        <f t="shared" si="7"/>
        <v/>
      </c>
      <c r="V111" s="449" t="str">
        <f t="shared" si="8"/>
        <v/>
      </c>
      <c r="W111" s="449" t="str">
        <f t="shared" si="9"/>
        <v/>
      </c>
      <c r="X111" s="449" t="str">
        <f t="shared" si="12"/>
        <v/>
      </c>
      <c r="Y111" s="449" t="str">
        <f t="shared" si="10"/>
        <v/>
      </c>
      <c r="Z111" s="449" t="str">
        <f t="shared" si="11"/>
        <v/>
      </c>
    </row>
    <row r="112" spans="21:39" x14ac:dyDescent="0.25">
      <c r="U112" s="449" t="str">
        <f t="shared" si="7"/>
        <v/>
      </c>
      <c r="V112" s="449" t="str">
        <f t="shared" si="8"/>
        <v/>
      </c>
      <c r="W112" s="449" t="str">
        <f t="shared" si="9"/>
        <v/>
      </c>
      <c r="X112" s="449" t="str">
        <f t="shared" si="12"/>
        <v/>
      </c>
      <c r="Y112" s="449" t="str">
        <f t="shared" si="10"/>
        <v/>
      </c>
      <c r="Z112" s="449" t="str">
        <f t="shared" si="11"/>
        <v/>
      </c>
    </row>
    <row r="113" spans="21:26" x14ac:dyDescent="0.25">
      <c r="U113" s="449" t="str">
        <f t="shared" si="7"/>
        <v/>
      </c>
      <c r="V113" s="449" t="str">
        <f t="shared" si="8"/>
        <v/>
      </c>
      <c r="W113" s="449" t="str">
        <f t="shared" si="9"/>
        <v/>
      </c>
      <c r="X113" s="449" t="str">
        <f t="shared" si="12"/>
        <v/>
      </c>
      <c r="Y113" s="449" t="str">
        <f t="shared" si="10"/>
        <v/>
      </c>
      <c r="Z113" s="449" t="str">
        <f t="shared" si="11"/>
        <v/>
      </c>
    </row>
    <row r="114" spans="21:26" x14ac:dyDescent="0.25">
      <c r="U114" s="449" t="str">
        <f t="shared" si="7"/>
        <v/>
      </c>
      <c r="V114" s="449" t="str">
        <f t="shared" si="8"/>
        <v/>
      </c>
      <c r="W114" s="449" t="str">
        <f t="shared" si="9"/>
        <v/>
      </c>
      <c r="X114" s="449" t="str">
        <f t="shared" si="12"/>
        <v/>
      </c>
      <c r="Y114" s="449" t="str">
        <f t="shared" si="10"/>
        <v/>
      </c>
      <c r="Z114" s="449" t="str">
        <f t="shared" si="11"/>
        <v/>
      </c>
    </row>
    <row r="115" spans="21:26" x14ac:dyDescent="0.25">
      <c r="U115" s="449" t="str">
        <f t="shared" si="7"/>
        <v/>
      </c>
      <c r="V115" s="449" t="str">
        <f t="shared" si="8"/>
        <v/>
      </c>
      <c r="W115" s="449" t="str">
        <f t="shared" si="9"/>
        <v/>
      </c>
      <c r="X115" s="449" t="str">
        <f t="shared" si="12"/>
        <v/>
      </c>
      <c r="Y115" s="449" t="str">
        <f t="shared" si="10"/>
        <v/>
      </c>
      <c r="Z115" s="449" t="str">
        <f t="shared" si="11"/>
        <v/>
      </c>
    </row>
    <row r="116" spans="21:26" x14ac:dyDescent="0.25">
      <c r="U116" s="449" t="str">
        <f t="shared" si="7"/>
        <v/>
      </c>
      <c r="V116" s="449" t="str">
        <f t="shared" si="8"/>
        <v/>
      </c>
      <c r="W116" s="449" t="str">
        <f t="shared" si="9"/>
        <v/>
      </c>
      <c r="X116" s="449" t="str">
        <f t="shared" si="12"/>
        <v/>
      </c>
      <c r="Y116" s="449" t="str">
        <f t="shared" si="10"/>
        <v/>
      </c>
      <c r="Z116" s="449" t="str">
        <f t="shared" si="11"/>
        <v/>
      </c>
    </row>
    <row r="117" spans="21:26" x14ac:dyDescent="0.25">
      <c r="U117" s="449" t="str">
        <f t="shared" si="7"/>
        <v/>
      </c>
      <c r="V117" s="449" t="str">
        <f t="shared" si="8"/>
        <v/>
      </c>
      <c r="W117" s="449" t="str">
        <f t="shared" si="9"/>
        <v/>
      </c>
      <c r="X117" s="449" t="str">
        <f t="shared" si="12"/>
        <v/>
      </c>
      <c r="Y117" s="449" t="str">
        <f t="shared" si="10"/>
        <v/>
      </c>
      <c r="Z117" s="449" t="str">
        <f t="shared" si="11"/>
        <v/>
      </c>
    </row>
    <row r="118" spans="21:26" x14ac:dyDescent="0.25">
      <c r="U118" s="449" t="str">
        <f t="shared" si="7"/>
        <v/>
      </c>
      <c r="V118" s="449" t="str">
        <f t="shared" si="8"/>
        <v/>
      </c>
      <c r="W118" s="449" t="str">
        <f t="shared" si="9"/>
        <v/>
      </c>
      <c r="X118" s="449" t="str">
        <f t="shared" si="12"/>
        <v/>
      </c>
      <c r="Y118" s="449" t="str">
        <f t="shared" si="10"/>
        <v/>
      </c>
      <c r="Z118" s="449" t="str">
        <f t="shared" si="11"/>
        <v/>
      </c>
    </row>
    <row r="119" spans="21:26" x14ac:dyDescent="0.25">
      <c r="U119" s="449" t="str">
        <f t="shared" si="7"/>
        <v/>
      </c>
      <c r="V119" s="449" t="str">
        <f t="shared" si="8"/>
        <v/>
      </c>
      <c r="W119" s="449" t="str">
        <f t="shared" si="9"/>
        <v/>
      </c>
      <c r="X119" s="449" t="str">
        <f t="shared" si="12"/>
        <v/>
      </c>
      <c r="Y119" s="449" t="str">
        <f t="shared" si="10"/>
        <v/>
      </c>
      <c r="Z119" s="449" t="str">
        <f t="shared" si="11"/>
        <v/>
      </c>
    </row>
    <row r="120" spans="21:26" x14ac:dyDescent="0.25">
      <c r="U120" s="449" t="str">
        <f t="shared" si="7"/>
        <v/>
      </c>
      <c r="V120" s="449" t="str">
        <f t="shared" si="8"/>
        <v/>
      </c>
      <c r="W120" s="449" t="str">
        <f t="shared" si="9"/>
        <v/>
      </c>
      <c r="X120" s="449" t="str">
        <f t="shared" si="12"/>
        <v/>
      </c>
      <c r="Y120" s="449" t="str">
        <f t="shared" si="10"/>
        <v/>
      </c>
      <c r="Z120" s="449" t="str">
        <f t="shared" si="11"/>
        <v/>
      </c>
    </row>
    <row r="121" spans="21:26" x14ac:dyDescent="0.25">
      <c r="U121" s="449" t="str">
        <f t="shared" si="7"/>
        <v/>
      </c>
      <c r="V121" s="449" t="str">
        <f t="shared" si="8"/>
        <v/>
      </c>
      <c r="W121" s="449" t="str">
        <f t="shared" si="9"/>
        <v/>
      </c>
      <c r="X121" s="449" t="str">
        <f t="shared" si="12"/>
        <v/>
      </c>
      <c r="Y121" s="449" t="str">
        <f t="shared" si="10"/>
        <v/>
      </c>
      <c r="Z121" s="449" t="str">
        <f t="shared" si="11"/>
        <v/>
      </c>
    </row>
    <row r="122" spans="21:26" x14ac:dyDescent="0.25">
      <c r="U122" s="449" t="str">
        <f t="shared" si="7"/>
        <v/>
      </c>
      <c r="V122" s="449" t="str">
        <f t="shared" si="8"/>
        <v/>
      </c>
      <c r="W122" s="449" t="str">
        <f t="shared" si="9"/>
        <v/>
      </c>
      <c r="X122" s="449" t="str">
        <f t="shared" si="12"/>
        <v/>
      </c>
      <c r="Y122" s="449" t="str">
        <f t="shared" si="10"/>
        <v/>
      </c>
      <c r="Z122" s="449" t="str">
        <f t="shared" si="11"/>
        <v/>
      </c>
    </row>
    <row r="123" spans="21:26" x14ac:dyDescent="0.25">
      <c r="U123" s="449" t="str">
        <f t="shared" si="7"/>
        <v/>
      </c>
      <c r="V123" s="449" t="str">
        <f t="shared" si="8"/>
        <v/>
      </c>
      <c r="W123" s="449" t="str">
        <f t="shared" si="9"/>
        <v/>
      </c>
      <c r="X123" s="449" t="str">
        <f t="shared" si="12"/>
        <v/>
      </c>
      <c r="Y123" s="449" t="str">
        <f t="shared" si="10"/>
        <v/>
      </c>
      <c r="Z123" s="449" t="str">
        <f t="shared" si="11"/>
        <v/>
      </c>
    </row>
    <row r="124" spans="21:26" x14ac:dyDescent="0.25">
      <c r="U124" s="449" t="str">
        <f t="shared" si="7"/>
        <v/>
      </c>
      <c r="V124" s="449" t="str">
        <f t="shared" si="8"/>
        <v/>
      </c>
      <c r="W124" s="449" t="str">
        <f t="shared" si="9"/>
        <v/>
      </c>
      <c r="X124" s="449" t="str">
        <f t="shared" si="12"/>
        <v/>
      </c>
      <c r="Y124" s="449" t="str">
        <f t="shared" si="10"/>
        <v/>
      </c>
      <c r="Z124" s="449" t="str">
        <f t="shared" si="11"/>
        <v/>
      </c>
    </row>
    <row r="125" spans="21:26" x14ac:dyDescent="0.25">
      <c r="U125" s="449" t="str">
        <f t="shared" si="7"/>
        <v/>
      </c>
      <c r="V125" s="449" t="str">
        <f t="shared" si="8"/>
        <v/>
      </c>
      <c r="W125" s="449" t="str">
        <f t="shared" si="9"/>
        <v/>
      </c>
      <c r="X125" s="449" t="str">
        <f t="shared" si="12"/>
        <v/>
      </c>
      <c r="Y125" s="449" t="str">
        <f t="shared" si="10"/>
        <v/>
      </c>
      <c r="Z125" s="449" t="str">
        <f t="shared" si="11"/>
        <v/>
      </c>
    </row>
    <row r="126" spans="21:26" x14ac:dyDescent="0.25">
      <c r="U126" s="449" t="str">
        <f t="shared" si="7"/>
        <v/>
      </c>
      <c r="V126" s="449" t="str">
        <f t="shared" si="8"/>
        <v/>
      </c>
      <c r="W126" s="449" t="str">
        <f t="shared" si="9"/>
        <v/>
      </c>
      <c r="X126" s="449" t="str">
        <f t="shared" si="12"/>
        <v/>
      </c>
      <c r="Y126" s="449" t="str">
        <f t="shared" si="10"/>
        <v/>
      </c>
      <c r="Z126" s="449" t="str">
        <f t="shared" si="11"/>
        <v/>
      </c>
    </row>
    <row r="127" spans="21:26" x14ac:dyDescent="0.25">
      <c r="U127" s="449" t="str">
        <f t="shared" si="7"/>
        <v/>
      </c>
      <c r="V127" s="449" t="str">
        <f t="shared" si="8"/>
        <v/>
      </c>
      <c r="W127" s="449" t="str">
        <f t="shared" si="9"/>
        <v/>
      </c>
      <c r="X127" s="449" t="str">
        <f t="shared" si="12"/>
        <v/>
      </c>
      <c r="Y127" s="449" t="str">
        <f t="shared" si="10"/>
        <v/>
      </c>
      <c r="Z127" s="449" t="str">
        <f t="shared" si="11"/>
        <v/>
      </c>
    </row>
    <row r="128" spans="21:26" x14ac:dyDescent="0.25">
      <c r="U128" s="449" t="str">
        <f t="shared" si="7"/>
        <v/>
      </c>
      <c r="V128" s="449" t="str">
        <f t="shared" si="8"/>
        <v/>
      </c>
      <c r="W128" s="449" t="str">
        <f t="shared" si="9"/>
        <v/>
      </c>
      <c r="X128" s="449" t="str">
        <f t="shared" si="12"/>
        <v/>
      </c>
      <c r="Y128" s="449" t="str">
        <f t="shared" si="10"/>
        <v/>
      </c>
      <c r="Z128" s="449" t="str">
        <f t="shared" si="11"/>
        <v/>
      </c>
    </row>
    <row r="129" spans="21:26" x14ac:dyDescent="0.25">
      <c r="U129" s="449" t="str">
        <f t="shared" si="7"/>
        <v/>
      </c>
      <c r="V129" s="449" t="str">
        <f t="shared" si="8"/>
        <v/>
      </c>
      <c r="W129" s="449" t="str">
        <f t="shared" si="9"/>
        <v/>
      </c>
      <c r="X129" s="449" t="str">
        <f t="shared" si="12"/>
        <v/>
      </c>
      <c r="Y129" s="449" t="str">
        <f t="shared" si="10"/>
        <v/>
      </c>
      <c r="Z129" s="449" t="str">
        <f t="shared" si="11"/>
        <v/>
      </c>
    </row>
    <row r="130" spans="21:26" x14ac:dyDescent="0.25">
      <c r="U130" s="449" t="str">
        <f t="shared" si="7"/>
        <v/>
      </c>
      <c r="V130" s="449" t="str">
        <f t="shared" si="8"/>
        <v/>
      </c>
      <c r="W130" s="449" t="str">
        <f t="shared" si="9"/>
        <v/>
      </c>
      <c r="X130" s="449" t="str">
        <f t="shared" si="12"/>
        <v/>
      </c>
      <c r="Y130" s="449" t="str">
        <f t="shared" si="10"/>
        <v/>
      </c>
      <c r="Z130" s="449" t="str">
        <f t="shared" si="11"/>
        <v/>
      </c>
    </row>
    <row r="131" spans="21:26" x14ac:dyDescent="0.25">
      <c r="U131" s="449" t="str">
        <f t="shared" si="7"/>
        <v/>
      </c>
      <c r="V131" s="449" t="str">
        <f t="shared" si="8"/>
        <v/>
      </c>
      <c r="W131" s="449" t="str">
        <f t="shared" si="9"/>
        <v/>
      </c>
      <c r="X131" s="449" t="str">
        <f t="shared" si="12"/>
        <v/>
      </c>
      <c r="Y131" s="449" t="str">
        <f t="shared" si="10"/>
        <v/>
      </c>
      <c r="Z131" s="449" t="str">
        <f t="shared" si="11"/>
        <v/>
      </c>
    </row>
    <row r="132" spans="21:26" x14ac:dyDescent="0.25">
      <c r="U132" s="449" t="str">
        <f t="shared" ref="U132:U195" si="13">IF(AB132="","",LEFT(W132,2)&amp;"00")</f>
        <v/>
      </c>
      <c r="V132" s="449" t="str">
        <f t="shared" ref="V132:V195" si="14">IF(W132="","",IF(AND(W132&gt;"1109",W132&lt;"1172"),"1",IF(OR(W132="3111",W132="3113",W132="3117",W132="3204",W132="3214",W132="3216",W132="3373",W132="3376",W132="3803"),"1",IF(LEFT(W132,1)="1",IF(OR(LEFT(W132,2)="10",LEFT(W132,2)="12",LEFT(W132,2)="16",LEFT(W132,2)="18",LEFT(W132,2)="19"),"19",LEFT(W132,2)),LEFT(W132,1)&amp;"000"))))</f>
        <v/>
      </c>
      <c r="W132" s="449" t="str">
        <f t="shared" ref="W132:W195" si="15">LEFT(AB132,4)</f>
        <v/>
      </c>
      <c r="X132" s="449" t="str">
        <f t="shared" si="12"/>
        <v/>
      </c>
      <c r="Y132" s="449" t="str">
        <f t="shared" ref="Y132:Y195" si="16">IF(AB132="","",IF(OR(LEFT(AB132,1)="1",LEFT(AB132,1)="2",LEFT(AB132,1)="3",LEFT(AB132,1)="4"),LEFT(AB132,1)&amp;"000","9000"))</f>
        <v/>
      </c>
      <c r="Z132" s="449" t="str">
        <f t="shared" ref="Z132:Z195" si="17">LEFT(AA132,2)</f>
        <v/>
      </c>
    </row>
    <row r="133" spans="21:26" x14ac:dyDescent="0.25">
      <c r="U133" s="449" t="str">
        <f t="shared" si="13"/>
        <v/>
      </c>
      <c r="V133" s="449" t="str">
        <f t="shared" si="14"/>
        <v/>
      </c>
      <c r="W133" s="449" t="str">
        <f t="shared" si="15"/>
        <v/>
      </c>
      <c r="X133" s="449" t="str">
        <f t="shared" si="12"/>
        <v/>
      </c>
      <c r="Y133" s="449" t="str">
        <f t="shared" si="16"/>
        <v/>
      </c>
      <c r="Z133" s="449" t="str">
        <f t="shared" si="17"/>
        <v/>
      </c>
    </row>
    <row r="134" spans="21:26" x14ac:dyDescent="0.25">
      <c r="U134" s="449" t="str">
        <f t="shared" si="13"/>
        <v/>
      </c>
      <c r="V134" s="449" t="str">
        <f t="shared" si="14"/>
        <v/>
      </c>
      <c r="W134" s="449" t="str">
        <f t="shared" si="15"/>
        <v/>
      </c>
      <c r="X134" s="449" t="str">
        <f t="shared" si="12"/>
        <v/>
      </c>
      <c r="Y134" s="449" t="str">
        <f t="shared" si="16"/>
        <v/>
      </c>
      <c r="Z134" s="449" t="str">
        <f t="shared" si="17"/>
        <v/>
      </c>
    </row>
    <row r="135" spans="21:26" x14ac:dyDescent="0.25">
      <c r="U135" s="449" t="str">
        <f t="shared" si="13"/>
        <v/>
      </c>
      <c r="V135" s="449" t="str">
        <f t="shared" si="14"/>
        <v/>
      </c>
      <c r="W135" s="449" t="str">
        <f t="shared" si="15"/>
        <v/>
      </c>
      <c r="X135" s="449" t="str">
        <f t="shared" si="12"/>
        <v/>
      </c>
      <c r="Y135" s="449" t="str">
        <f t="shared" si="16"/>
        <v/>
      </c>
      <c r="Z135" s="449" t="str">
        <f t="shared" si="17"/>
        <v/>
      </c>
    </row>
    <row r="136" spans="21:26" x14ac:dyDescent="0.25">
      <c r="U136" s="449" t="str">
        <f t="shared" si="13"/>
        <v/>
      </c>
      <c r="V136" s="449" t="str">
        <f t="shared" si="14"/>
        <v/>
      </c>
      <c r="W136" s="449" t="str">
        <f t="shared" si="15"/>
        <v/>
      </c>
      <c r="X136" s="449" t="str">
        <f t="shared" si="12"/>
        <v/>
      </c>
      <c r="Y136" s="449" t="str">
        <f t="shared" si="16"/>
        <v/>
      </c>
      <c r="Z136" s="449" t="str">
        <f t="shared" si="17"/>
        <v/>
      </c>
    </row>
    <row r="137" spans="21:26" x14ac:dyDescent="0.25">
      <c r="U137" s="449" t="str">
        <f t="shared" si="13"/>
        <v/>
      </c>
      <c r="V137" s="449" t="str">
        <f t="shared" si="14"/>
        <v/>
      </c>
      <c r="W137" s="449" t="str">
        <f t="shared" si="15"/>
        <v/>
      </c>
      <c r="X137" s="449" t="str">
        <f t="shared" si="12"/>
        <v/>
      </c>
      <c r="Y137" s="449" t="str">
        <f t="shared" si="16"/>
        <v/>
      </c>
      <c r="Z137" s="449" t="str">
        <f t="shared" si="17"/>
        <v/>
      </c>
    </row>
    <row r="138" spans="21:26" x14ac:dyDescent="0.25">
      <c r="U138" s="449" t="str">
        <f t="shared" si="13"/>
        <v/>
      </c>
      <c r="V138" s="449" t="str">
        <f t="shared" si="14"/>
        <v/>
      </c>
      <c r="W138" s="449" t="str">
        <f t="shared" si="15"/>
        <v/>
      </c>
      <c r="X138" s="449" t="str">
        <f t="shared" si="12"/>
        <v/>
      </c>
      <c r="Y138" s="449" t="str">
        <f t="shared" si="16"/>
        <v/>
      </c>
      <c r="Z138" s="449" t="str">
        <f t="shared" si="17"/>
        <v/>
      </c>
    </row>
    <row r="139" spans="21:26" x14ac:dyDescent="0.25">
      <c r="U139" s="449" t="str">
        <f t="shared" si="13"/>
        <v/>
      </c>
      <c r="V139" s="449" t="str">
        <f t="shared" si="14"/>
        <v/>
      </c>
      <c r="W139" s="449" t="str">
        <f t="shared" si="15"/>
        <v/>
      </c>
      <c r="X139" s="449" t="str">
        <f t="shared" si="12"/>
        <v/>
      </c>
      <c r="Y139" s="449" t="str">
        <f t="shared" si="16"/>
        <v/>
      </c>
      <c r="Z139" s="449" t="str">
        <f t="shared" si="17"/>
        <v/>
      </c>
    </row>
    <row r="140" spans="21:26" x14ac:dyDescent="0.25">
      <c r="U140" s="449" t="str">
        <f t="shared" si="13"/>
        <v/>
      </c>
      <c r="V140" s="449" t="str">
        <f t="shared" si="14"/>
        <v/>
      </c>
      <c r="W140" s="449" t="str">
        <f t="shared" si="15"/>
        <v/>
      </c>
      <c r="X140" s="449" t="str">
        <f t="shared" si="12"/>
        <v/>
      </c>
      <c r="Y140" s="449" t="str">
        <f t="shared" si="16"/>
        <v/>
      </c>
      <c r="Z140" s="449" t="str">
        <f t="shared" si="17"/>
        <v/>
      </c>
    </row>
    <row r="141" spans="21:26" x14ac:dyDescent="0.25">
      <c r="U141" s="449" t="str">
        <f t="shared" si="13"/>
        <v/>
      </c>
      <c r="V141" s="449" t="str">
        <f t="shared" si="14"/>
        <v/>
      </c>
      <c r="W141" s="449" t="str">
        <f t="shared" si="15"/>
        <v/>
      </c>
      <c r="X141" s="449" t="str">
        <f t="shared" si="12"/>
        <v/>
      </c>
      <c r="Y141" s="449" t="str">
        <f t="shared" si="16"/>
        <v/>
      </c>
      <c r="Z141" s="449" t="str">
        <f t="shared" si="17"/>
        <v/>
      </c>
    </row>
    <row r="142" spans="21:26" x14ac:dyDescent="0.25">
      <c r="U142" s="449" t="str">
        <f t="shared" si="13"/>
        <v/>
      </c>
      <c r="V142" s="449" t="str">
        <f t="shared" si="14"/>
        <v/>
      </c>
      <c r="W142" s="449" t="str">
        <f t="shared" si="15"/>
        <v/>
      </c>
      <c r="X142" s="449" t="str">
        <f t="shared" si="12"/>
        <v/>
      </c>
      <c r="Y142" s="449" t="str">
        <f t="shared" si="16"/>
        <v/>
      </c>
      <c r="Z142" s="449" t="str">
        <f t="shared" si="17"/>
        <v/>
      </c>
    </row>
    <row r="143" spans="21:26" x14ac:dyDescent="0.25">
      <c r="U143" s="449" t="str">
        <f t="shared" si="13"/>
        <v/>
      </c>
      <c r="V143" s="449" t="str">
        <f t="shared" si="14"/>
        <v/>
      </c>
      <c r="W143" s="449" t="str">
        <f t="shared" si="15"/>
        <v/>
      </c>
      <c r="X143" s="449" t="str">
        <f t="shared" si="12"/>
        <v/>
      </c>
      <c r="Y143" s="449" t="str">
        <f t="shared" si="16"/>
        <v/>
      </c>
      <c r="Z143" s="449" t="str">
        <f t="shared" si="17"/>
        <v/>
      </c>
    </row>
    <row r="144" spans="21:26" x14ac:dyDescent="0.25">
      <c r="U144" s="449" t="str">
        <f t="shared" si="13"/>
        <v/>
      </c>
      <c r="V144" s="449" t="str">
        <f t="shared" si="14"/>
        <v/>
      </c>
      <c r="W144" s="449" t="str">
        <f t="shared" si="15"/>
        <v/>
      </c>
      <c r="X144" s="449" t="str">
        <f t="shared" si="12"/>
        <v/>
      </c>
      <c r="Y144" s="449" t="str">
        <f t="shared" si="16"/>
        <v/>
      </c>
      <c r="Z144" s="449" t="str">
        <f t="shared" si="17"/>
        <v/>
      </c>
    </row>
    <row r="145" spans="21:26" x14ac:dyDescent="0.25">
      <c r="U145" s="449" t="str">
        <f t="shared" si="13"/>
        <v/>
      </c>
      <c r="V145" s="449" t="str">
        <f t="shared" si="14"/>
        <v/>
      </c>
      <c r="W145" s="449" t="str">
        <f t="shared" si="15"/>
        <v/>
      </c>
      <c r="X145" s="449" t="str">
        <f t="shared" si="12"/>
        <v/>
      </c>
      <c r="Y145" s="449" t="str">
        <f t="shared" si="16"/>
        <v/>
      </c>
      <c r="Z145" s="449" t="str">
        <f t="shared" si="17"/>
        <v/>
      </c>
    </row>
    <row r="146" spans="21:26" x14ac:dyDescent="0.25">
      <c r="U146" s="449" t="str">
        <f t="shared" si="13"/>
        <v/>
      </c>
      <c r="V146" s="449" t="str">
        <f t="shared" si="14"/>
        <v/>
      </c>
      <c r="W146" s="449" t="str">
        <f t="shared" si="15"/>
        <v/>
      </c>
      <c r="X146" s="449" t="str">
        <f t="shared" si="12"/>
        <v/>
      </c>
      <c r="Y146" s="449" t="str">
        <f t="shared" si="16"/>
        <v/>
      </c>
      <c r="Z146" s="449" t="str">
        <f t="shared" si="17"/>
        <v/>
      </c>
    </row>
    <row r="147" spans="21:26" x14ac:dyDescent="0.25">
      <c r="U147" s="449" t="str">
        <f t="shared" si="13"/>
        <v/>
      </c>
      <c r="V147" s="449" t="str">
        <f t="shared" si="14"/>
        <v/>
      </c>
      <c r="W147" s="449" t="str">
        <f t="shared" si="15"/>
        <v/>
      </c>
      <c r="X147" s="449" t="str">
        <f t="shared" si="12"/>
        <v/>
      </c>
      <c r="Y147" s="449" t="str">
        <f t="shared" si="16"/>
        <v/>
      </c>
      <c r="Z147" s="449" t="str">
        <f t="shared" si="17"/>
        <v/>
      </c>
    </row>
    <row r="148" spans="21:26" x14ac:dyDescent="0.25">
      <c r="U148" s="449" t="str">
        <f t="shared" si="13"/>
        <v/>
      </c>
      <c r="V148" s="449" t="str">
        <f t="shared" si="14"/>
        <v/>
      </c>
      <c r="W148" s="449" t="str">
        <f t="shared" si="15"/>
        <v/>
      </c>
      <c r="X148" s="449" t="str">
        <f t="shared" si="12"/>
        <v/>
      </c>
      <c r="Y148" s="449" t="str">
        <f t="shared" si="16"/>
        <v/>
      </c>
      <c r="Z148" s="449" t="str">
        <f t="shared" si="17"/>
        <v/>
      </c>
    </row>
    <row r="149" spans="21:26" x14ac:dyDescent="0.25">
      <c r="U149" s="449" t="str">
        <f t="shared" si="13"/>
        <v/>
      </c>
      <c r="V149" s="449" t="str">
        <f t="shared" si="14"/>
        <v/>
      </c>
      <c r="W149" s="449" t="str">
        <f t="shared" si="15"/>
        <v/>
      </c>
      <c r="X149" s="449" t="str">
        <f t="shared" si="12"/>
        <v/>
      </c>
      <c r="Y149" s="449" t="str">
        <f t="shared" si="16"/>
        <v/>
      </c>
      <c r="Z149" s="449" t="str">
        <f t="shared" si="17"/>
        <v/>
      </c>
    </row>
    <row r="150" spans="21:26" x14ac:dyDescent="0.25">
      <c r="U150" s="449" t="str">
        <f t="shared" si="13"/>
        <v/>
      </c>
      <c r="V150" s="449" t="str">
        <f t="shared" si="14"/>
        <v/>
      </c>
      <c r="W150" s="449" t="str">
        <f t="shared" si="15"/>
        <v/>
      </c>
      <c r="X150" s="449" t="str">
        <f t="shared" si="12"/>
        <v/>
      </c>
      <c r="Y150" s="449" t="str">
        <f t="shared" si="16"/>
        <v/>
      </c>
      <c r="Z150" s="449" t="str">
        <f t="shared" si="17"/>
        <v/>
      </c>
    </row>
    <row r="151" spans="21:26" x14ac:dyDescent="0.25">
      <c r="U151" s="449" t="str">
        <f t="shared" si="13"/>
        <v/>
      </c>
      <c r="V151" s="449" t="str">
        <f t="shared" si="14"/>
        <v/>
      </c>
      <c r="W151" s="449" t="str">
        <f t="shared" si="15"/>
        <v/>
      </c>
      <c r="X151" s="449" t="str">
        <f t="shared" si="12"/>
        <v/>
      </c>
      <c r="Y151" s="449" t="str">
        <f t="shared" si="16"/>
        <v/>
      </c>
      <c r="Z151" s="449" t="str">
        <f t="shared" si="17"/>
        <v/>
      </c>
    </row>
    <row r="152" spans="21:26" x14ac:dyDescent="0.25">
      <c r="U152" s="449" t="str">
        <f t="shared" si="13"/>
        <v/>
      </c>
      <c r="V152" s="449" t="str">
        <f t="shared" si="14"/>
        <v/>
      </c>
      <c r="W152" s="449" t="str">
        <f t="shared" si="15"/>
        <v/>
      </c>
      <c r="X152" s="449" t="str">
        <f t="shared" si="12"/>
        <v/>
      </c>
      <c r="Y152" s="449" t="str">
        <f t="shared" si="16"/>
        <v/>
      </c>
      <c r="Z152" s="449" t="str">
        <f t="shared" si="17"/>
        <v/>
      </c>
    </row>
    <row r="153" spans="21:26" x14ac:dyDescent="0.25">
      <c r="U153" s="449" t="str">
        <f t="shared" si="13"/>
        <v/>
      </c>
      <c r="V153" s="449" t="str">
        <f t="shared" si="14"/>
        <v/>
      </c>
      <c r="W153" s="449" t="str">
        <f t="shared" si="15"/>
        <v/>
      </c>
      <c r="X153" s="449" t="str">
        <f t="shared" si="12"/>
        <v/>
      </c>
      <c r="Y153" s="449" t="str">
        <f t="shared" si="16"/>
        <v/>
      </c>
      <c r="Z153" s="449" t="str">
        <f t="shared" si="17"/>
        <v/>
      </c>
    </row>
    <row r="154" spans="21:26" x14ac:dyDescent="0.25">
      <c r="U154" s="449" t="str">
        <f t="shared" si="13"/>
        <v/>
      </c>
      <c r="V154" s="449" t="str">
        <f t="shared" si="14"/>
        <v/>
      </c>
      <c r="W154" s="449" t="str">
        <f t="shared" si="15"/>
        <v/>
      </c>
      <c r="X154" s="449" t="str">
        <f t="shared" si="12"/>
        <v/>
      </c>
      <c r="Y154" s="449" t="str">
        <f t="shared" si="16"/>
        <v/>
      </c>
      <c r="Z154" s="449" t="str">
        <f t="shared" si="17"/>
        <v/>
      </c>
    </row>
    <row r="155" spans="21:26" x14ac:dyDescent="0.25">
      <c r="U155" s="449" t="str">
        <f t="shared" si="13"/>
        <v/>
      </c>
      <c r="V155" s="449" t="str">
        <f t="shared" si="14"/>
        <v/>
      </c>
      <c r="W155" s="449" t="str">
        <f t="shared" si="15"/>
        <v/>
      </c>
      <c r="X155" s="449" t="str">
        <f t="shared" si="12"/>
        <v/>
      </c>
      <c r="Y155" s="449" t="str">
        <f t="shared" si="16"/>
        <v/>
      </c>
      <c r="Z155" s="449" t="str">
        <f t="shared" si="17"/>
        <v/>
      </c>
    </row>
    <row r="156" spans="21:26" x14ac:dyDescent="0.25">
      <c r="U156" s="449" t="str">
        <f t="shared" si="13"/>
        <v/>
      </c>
      <c r="V156" s="449" t="str">
        <f t="shared" si="14"/>
        <v/>
      </c>
      <c r="W156" s="449" t="str">
        <f t="shared" si="15"/>
        <v/>
      </c>
      <c r="X156" s="449" t="str">
        <f t="shared" si="12"/>
        <v/>
      </c>
      <c r="Y156" s="449" t="str">
        <f t="shared" si="16"/>
        <v/>
      </c>
      <c r="Z156" s="449" t="str">
        <f t="shared" si="17"/>
        <v/>
      </c>
    </row>
    <row r="157" spans="21:26" x14ac:dyDescent="0.25">
      <c r="U157" s="449" t="str">
        <f t="shared" si="13"/>
        <v/>
      </c>
      <c r="V157" s="449" t="str">
        <f t="shared" si="14"/>
        <v/>
      </c>
      <c r="W157" s="449" t="str">
        <f t="shared" si="15"/>
        <v/>
      </c>
      <c r="X157" s="449" t="str">
        <f t="shared" si="12"/>
        <v/>
      </c>
      <c r="Y157" s="449" t="str">
        <f t="shared" si="16"/>
        <v/>
      </c>
      <c r="Z157" s="449" t="str">
        <f t="shared" si="17"/>
        <v/>
      </c>
    </row>
    <row r="158" spans="21:26" x14ac:dyDescent="0.25">
      <c r="U158" s="449" t="str">
        <f t="shared" si="13"/>
        <v/>
      </c>
      <c r="V158" s="449" t="str">
        <f t="shared" si="14"/>
        <v/>
      </c>
      <c r="W158" s="449" t="str">
        <f t="shared" si="15"/>
        <v/>
      </c>
      <c r="X158" s="449" t="str">
        <f t="shared" si="12"/>
        <v/>
      </c>
      <c r="Y158" s="449" t="str">
        <f t="shared" si="16"/>
        <v/>
      </c>
      <c r="Z158" s="449" t="str">
        <f t="shared" si="17"/>
        <v/>
      </c>
    </row>
    <row r="159" spans="21:26" x14ac:dyDescent="0.25">
      <c r="U159" s="449" t="str">
        <f t="shared" si="13"/>
        <v/>
      </c>
      <c r="V159" s="449" t="str">
        <f t="shared" si="14"/>
        <v/>
      </c>
      <c r="W159" s="449" t="str">
        <f t="shared" si="15"/>
        <v/>
      </c>
      <c r="X159" s="449" t="str">
        <f t="shared" si="12"/>
        <v/>
      </c>
      <c r="Y159" s="449" t="str">
        <f t="shared" si="16"/>
        <v/>
      </c>
      <c r="Z159" s="449" t="str">
        <f t="shared" si="17"/>
        <v/>
      </c>
    </row>
    <row r="160" spans="21:26" x14ac:dyDescent="0.25">
      <c r="U160" s="449" t="str">
        <f t="shared" si="13"/>
        <v/>
      </c>
      <c r="V160" s="449" t="str">
        <f t="shared" si="14"/>
        <v/>
      </c>
      <c r="W160" s="449" t="str">
        <f t="shared" si="15"/>
        <v/>
      </c>
      <c r="X160" s="449" t="str">
        <f t="shared" ref="X160:X200" si="18">IF(Z160="","",IF(OR(Z160="21",Z160="22",Z160="36",Z160="61",Z160="24"),Z160,LEFT(Z160,1)&amp;"0"))</f>
        <v/>
      </c>
      <c r="Y160" s="449" t="str">
        <f t="shared" si="16"/>
        <v/>
      </c>
      <c r="Z160" s="449" t="str">
        <f t="shared" si="17"/>
        <v/>
      </c>
    </row>
    <row r="161" spans="21:26" x14ac:dyDescent="0.25">
      <c r="U161" s="449" t="str">
        <f t="shared" si="13"/>
        <v/>
      </c>
      <c r="V161" s="449" t="str">
        <f t="shared" si="14"/>
        <v/>
      </c>
      <c r="W161" s="449" t="str">
        <f t="shared" si="15"/>
        <v/>
      </c>
      <c r="X161" s="449" t="str">
        <f t="shared" si="18"/>
        <v/>
      </c>
      <c r="Y161" s="449" t="str">
        <f t="shared" si="16"/>
        <v/>
      </c>
      <c r="Z161" s="449" t="str">
        <f t="shared" si="17"/>
        <v/>
      </c>
    </row>
    <row r="162" spans="21:26" x14ac:dyDescent="0.25">
      <c r="U162" s="449" t="str">
        <f t="shared" si="13"/>
        <v/>
      </c>
      <c r="V162" s="449" t="str">
        <f t="shared" si="14"/>
        <v/>
      </c>
      <c r="W162" s="449" t="str">
        <f t="shared" si="15"/>
        <v/>
      </c>
      <c r="X162" s="449" t="str">
        <f t="shared" si="18"/>
        <v/>
      </c>
      <c r="Y162" s="449" t="str">
        <f t="shared" si="16"/>
        <v/>
      </c>
      <c r="Z162" s="449" t="str">
        <f t="shared" si="17"/>
        <v/>
      </c>
    </row>
    <row r="163" spans="21:26" x14ac:dyDescent="0.25">
      <c r="U163" s="449" t="str">
        <f t="shared" si="13"/>
        <v/>
      </c>
      <c r="V163" s="449" t="str">
        <f t="shared" si="14"/>
        <v/>
      </c>
      <c r="W163" s="449" t="str">
        <f t="shared" si="15"/>
        <v/>
      </c>
      <c r="X163" s="449" t="str">
        <f t="shared" si="18"/>
        <v/>
      </c>
      <c r="Y163" s="449" t="str">
        <f t="shared" si="16"/>
        <v/>
      </c>
      <c r="Z163" s="449" t="str">
        <f t="shared" si="17"/>
        <v/>
      </c>
    </row>
    <row r="164" spans="21:26" x14ac:dyDescent="0.25">
      <c r="U164" s="449" t="str">
        <f t="shared" si="13"/>
        <v/>
      </c>
      <c r="V164" s="449" t="str">
        <f t="shared" si="14"/>
        <v/>
      </c>
      <c r="W164" s="449" t="str">
        <f t="shared" si="15"/>
        <v/>
      </c>
      <c r="X164" s="449" t="str">
        <f t="shared" si="18"/>
        <v/>
      </c>
      <c r="Y164" s="449" t="str">
        <f t="shared" si="16"/>
        <v/>
      </c>
      <c r="Z164" s="449" t="str">
        <f t="shared" si="17"/>
        <v/>
      </c>
    </row>
    <row r="165" spans="21:26" x14ac:dyDescent="0.25">
      <c r="U165" s="449" t="str">
        <f t="shared" si="13"/>
        <v/>
      </c>
      <c r="V165" s="449" t="str">
        <f t="shared" si="14"/>
        <v/>
      </c>
      <c r="W165" s="449" t="str">
        <f t="shared" si="15"/>
        <v/>
      </c>
      <c r="X165" s="449" t="str">
        <f t="shared" si="18"/>
        <v/>
      </c>
      <c r="Y165" s="449" t="str">
        <f t="shared" si="16"/>
        <v/>
      </c>
      <c r="Z165" s="449" t="str">
        <f t="shared" si="17"/>
        <v/>
      </c>
    </row>
    <row r="166" spans="21:26" x14ac:dyDescent="0.25">
      <c r="U166" s="449" t="str">
        <f t="shared" si="13"/>
        <v/>
      </c>
      <c r="V166" s="449" t="str">
        <f t="shared" si="14"/>
        <v/>
      </c>
      <c r="W166" s="449" t="str">
        <f t="shared" si="15"/>
        <v/>
      </c>
      <c r="X166" s="449" t="str">
        <f t="shared" si="18"/>
        <v/>
      </c>
      <c r="Y166" s="449" t="str">
        <f t="shared" si="16"/>
        <v/>
      </c>
      <c r="Z166" s="449" t="str">
        <f t="shared" si="17"/>
        <v/>
      </c>
    </row>
    <row r="167" spans="21:26" x14ac:dyDescent="0.25">
      <c r="U167" s="449" t="str">
        <f t="shared" si="13"/>
        <v/>
      </c>
      <c r="V167" s="449" t="str">
        <f t="shared" si="14"/>
        <v/>
      </c>
      <c r="W167" s="449" t="str">
        <f t="shared" si="15"/>
        <v/>
      </c>
      <c r="X167" s="449" t="str">
        <f t="shared" si="18"/>
        <v/>
      </c>
      <c r="Y167" s="449" t="str">
        <f t="shared" si="16"/>
        <v/>
      </c>
      <c r="Z167" s="449" t="str">
        <f t="shared" si="17"/>
        <v/>
      </c>
    </row>
    <row r="168" spans="21:26" x14ac:dyDescent="0.25">
      <c r="U168" s="449" t="str">
        <f t="shared" si="13"/>
        <v/>
      </c>
      <c r="V168" s="449" t="str">
        <f t="shared" si="14"/>
        <v/>
      </c>
      <c r="W168" s="449" t="str">
        <f t="shared" si="15"/>
        <v/>
      </c>
      <c r="X168" s="449" t="str">
        <f t="shared" si="18"/>
        <v/>
      </c>
      <c r="Y168" s="449" t="str">
        <f t="shared" si="16"/>
        <v/>
      </c>
      <c r="Z168" s="449" t="str">
        <f t="shared" si="17"/>
        <v/>
      </c>
    </row>
    <row r="169" spans="21:26" x14ac:dyDescent="0.25">
      <c r="U169" s="449" t="str">
        <f t="shared" si="13"/>
        <v/>
      </c>
      <c r="V169" s="449" t="str">
        <f t="shared" si="14"/>
        <v/>
      </c>
      <c r="W169" s="449" t="str">
        <f t="shared" si="15"/>
        <v/>
      </c>
      <c r="X169" s="449" t="str">
        <f t="shared" si="18"/>
        <v/>
      </c>
      <c r="Y169" s="449" t="str">
        <f t="shared" si="16"/>
        <v/>
      </c>
      <c r="Z169" s="449" t="str">
        <f t="shared" si="17"/>
        <v/>
      </c>
    </row>
    <row r="170" spans="21:26" x14ac:dyDescent="0.25">
      <c r="U170" s="449" t="str">
        <f t="shared" si="13"/>
        <v/>
      </c>
      <c r="V170" s="449" t="str">
        <f t="shared" si="14"/>
        <v/>
      </c>
      <c r="W170" s="449" t="str">
        <f t="shared" si="15"/>
        <v/>
      </c>
      <c r="X170" s="449" t="str">
        <f t="shared" si="18"/>
        <v/>
      </c>
      <c r="Y170" s="449" t="str">
        <f t="shared" si="16"/>
        <v/>
      </c>
      <c r="Z170" s="449" t="str">
        <f t="shared" si="17"/>
        <v/>
      </c>
    </row>
    <row r="171" spans="21:26" x14ac:dyDescent="0.25">
      <c r="U171" s="449" t="str">
        <f t="shared" si="13"/>
        <v/>
      </c>
      <c r="V171" s="449" t="str">
        <f t="shared" si="14"/>
        <v/>
      </c>
      <c r="W171" s="449" t="str">
        <f t="shared" si="15"/>
        <v/>
      </c>
      <c r="X171" s="449" t="str">
        <f t="shared" si="18"/>
        <v/>
      </c>
      <c r="Y171" s="449" t="str">
        <f t="shared" si="16"/>
        <v/>
      </c>
      <c r="Z171" s="449" t="str">
        <f t="shared" si="17"/>
        <v/>
      </c>
    </row>
    <row r="172" spans="21:26" x14ac:dyDescent="0.25">
      <c r="U172" s="449" t="str">
        <f t="shared" si="13"/>
        <v/>
      </c>
      <c r="V172" s="449" t="str">
        <f t="shared" si="14"/>
        <v/>
      </c>
      <c r="W172" s="449" t="str">
        <f t="shared" si="15"/>
        <v/>
      </c>
      <c r="X172" s="449" t="str">
        <f t="shared" si="18"/>
        <v/>
      </c>
      <c r="Y172" s="449" t="str">
        <f t="shared" si="16"/>
        <v/>
      </c>
      <c r="Z172" s="449" t="str">
        <f t="shared" si="17"/>
        <v/>
      </c>
    </row>
    <row r="173" spans="21:26" x14ac:dyDescent="0.25">
      <c r="U173" s="449" t="str">
        <f t="shared" si="13"/>
        <v/>
      </c>
      <c r="V173" s="449" t="str">
        <f t="shared" si="14"/>
        <v/>
      </c>
      <c r="W173" s="449" t="str">
        <f t="shared" si="15"/>
        <v/>
      </c>
      <c r="X173" s="449" t="str">
        <f t="shared" si="18"/>
        <v/>
      </c>
      <c r="Y173" s="449" t="str">
        <f t="shared" si="16"/>
        <v/>
      </c>
      <c r="Z173" s="449" t="str">
        <f t="shared" si="17"/>
        <v/>
      </c>
    </row>
    <row r="174" spans="21:26" x14ac:dyDescent="0.25">
      <c r="U174" s="449" t="str">
        <f t="shared" si="13"/>
        <v/>
      </c>
      <c r="V174" s="449" t="str">
        <f t="shared" si="14"/>
        <v/>
      </c>
      <c r="W174" s="449" t="str">
        <f t="shared" si="15"/>
        <v/>
      </c>
      <c r="X174" s="449" t="str">
        <f t="shared" si="18"/>
        <v/>
      </c>
      <c r="Y174" s="449" t="str">
        <f t="shared" si="16"/>
        <v/>
      </c>
      <c r="Z174" s="449" t="str">
        <f t="shared" si="17"/>
        <v/>
      </c>
    </row>
    <row r="175" spans="21:26" x14ac:dyDescent="0.25">
      <c r="U175" s="449" t="str">
        <f t="shared" si="13"/>
        <v/>
      </c>
      <c r="V175" s="449" t="str">
        <f t="shared" si="14"/>
        <v/>
      </c>
      <c r="W175" s="449" t="str">
        <f t="shared" si="15"/>
        <v/>
      </c>
      <c r="X175" s="449" t="str">
        <f t="shared" si="18"/>
        <v/>
      </c>
      <c r="Y175" s="449" t="str">
        <f t="shared" si="16"/>
        <v/>
      </c>
      <c r="Z175" s="449" t="str">
        <f t="shared" si="17"/>
        <v/>
      </c>
    </row>
    <row r="176" spans="21:26" x14ac:dyDescent="0.25">
      <c r="U176" s="449" t="str">
        <f t="shared" si="13"/>
        <v/>
      </c>
      <c r="V176" s="449" t="str">
        <f t="shared" si="14"/>
        <v/>
      </c>
      <c r="W176" s="449" t="str">
        <f t="shared" si="15"/>
        <v/>
      </c>
      <c r="X176" s="449" t="str">
        <f t="shared" si="18"/>
        <v/>
      </c>
      <c r="Y176" s="449" t="str">
        <f t="shared" si="16"/>
        <v/>
      </c>
      <c r="Z176" s="449" t="str">
        <f t="shared" si="17"/>
        <v/>
      </c>
    </row>
    <row r="177" spans="21:26" x14ac:dyDescent="0.25">
      <c r="U177" s="449" t="str">
        <f t="shared" si="13"/>
        <v/>
      </c>
      <c r="V177" s="449" t="str">
        <f t="shared" si="14"/>
        <v/>
      </c>
      <c r="W177" s="449" t="str">
        <f t="shared" si="15"/>
        <v/>
      </c>
      <c r="X177" s="449" t="str">
        <f t="shared" si="18"/>
        <v/>
      </c>
      <c r="Y177" s="449" t="str">
        <f t="shared" si="16"/>
        <v/>
      </c>
      <c r="Z177" s="449" t="str">
        <f t="shared" si="17"/>
        <v/>
      </c>
    </row>
    <row r="178" spans="21:26" x14ac:dyDescent="0.25">
      <c r="U178" s="449" t="str">
        <f t="shared" si="13"/>
        <v/>
      </c>
      <c r="V178" s="449" t="str">
        <f t="shared" si="14"/>
        <v/>
      </c>
      <c r="W178" s="449" t="str">
        <f t="shared" si="15"/>
        <v/>
      </c>
      <c r="X178" s="449" t="str">
        <f t="shared" si="18"/>
        <v/>
      </c>
      <c r="Y178" s="449" t="str">
        <f t="shared" si="16"/>
        <v/>
      </c>
      <c r="Z178" s="449" t="str">
        <f t="shared" si="17"/>
        <v/>
      </c>
    </row>
    <row r="179" spans="21:26" x14ac:dyDescent="0.25">
      <c r="U179" s="449" t="str">
        <f t="shared" si="13"/>
        <v/>
      </c>
      <c r="V179" s="449" t="str">
        <f t="shared" si="14"/>
        <v/>
      </c>
      <c r="W179" s="449" t="str">
        <f t="shared" si="15"/>
        <v/>
      </c>
      <c r="X179" s="449" t="str">
        <f t="shared" si="18"/>
        <v/>
      </c>
      <c r="Y179" s="449" t="str">
        <f t="shared" si="16"/>
        <v/>
      </c>
      <c r="Z179" s="449" t="str">
        <f t="shared" si="17"/>
        <v/>
      </c>
    </row>
    <row r="180" spans="21:26" x14ac:dyDescent="0.25">
      <c r="U180" s="449" t="str">
        <f t="shared" si="13"/>
        <v/>
      </c>
      <c r="V180" s="449" t="str">
        <f t="shared" si="14"/>
        <v/>
      </c>
      <c r="W180" s="449" t="str">
        <f t="shared" si="15"/>
        <v/>
      </c>
      <c r="X180" s="449" t="str">
        <f t="shared" si="18"/>
        <v/>
      </c>
      <c r="Y180" s="449" t="str">
        <f t="shared" si="16"/>
        <v/>
      </c>
      <c r="Z180" s="449" t="str">
        <f t="shared" si="17"/>
        <v/>
      </c>
    </row>
    <row r="181" spans="21:26" x14ac:dyDescent="0.25">
      <c r="U181" s="449" t="str">
        <f t="shared" si="13"/>
        <v/>
      </c>
      <c r="V181" s="449" t="str">
        <f t="shared" si="14"/>
        <v/>
      </c>
      <c r="W181" s="449" t="str">
        <f t="shared" si="15"/>
        <v/>
      </c>
      <c r="X181" s="449" t="str">
        <f t="shared" si="18"/>
        <v/>
      </c>
      <c r="Y181" s="449" t="str">
        <f t="shared" si="16"/>
        <v/>
      </c>
      <c r="Z181" s="449" t="str">
        <f t="shared" si="17"/>
        <v/>
      </c>
    </row>
    <row r="182" spans="21:26" x14ac:dyDescent="0.25">
      <c r="U182" s="449" t="str">
        <f t="shared" si="13"/>
        <v/>
      </c>
      <c r="V182" s="449" t="str">
        <f t="shared" si="14"/>
        <v/>
      </c>
      <c r="W182" s="449" t="str">
        <f t="shared" si="15"/>
        <v/>
      </c>
      <c r="X182" s="449" t="str">
        <f t="shared" si="18"/>
        <v/>
      </c>
      <c r="Y182" s="449" t="str">
        <f t="shared" si="16"/>
        <v/>
      </c>
      <c r="Z182" s="449" t="str">
        <f t="shared" si="17"/>
        <v/>
      </c>
    </row>
    <row r="183" spans="21:26" x14ac:dyDescent="0.25">
      <c r="U183" s="449" t="str">
        <f t="shared" si="13"/>
        <v/>
      </c>
      <c r="V183" s="449" t="str">
        <f t="shared" si="14"/>
        <v/>
      </c>
      <c r="W183" s="449" t="str">
        <f t="shared" si="15"/>
        <v/>
      </c>
      <c r="X183" s="449" t="str">
        <f t="shared" si="18"/>
        <v/>
      </c>
      <c r="Y183" s="449" t="str">
        <f t="shared" si="16"/>
        <v/>
      </c>
      <c r="Z183" s="449" t="str">
        <f t="shared" si="17"/>
        <v/>
      </c>
    </row>
    <row r="184" spans="21:26" x14ac:dyDescent="0.25">
      <c r="U184" s="449" t="str">
        <f t="shared" si="13"/>
        <v/>
      </c>
      <c r="V184" s="449" t="str">
        <f t="shared" si="14"/>
        <v/>
      </c>
      <c r="W184" s="449" t="str">
        <f t="shared" si="15"/>
        <v/>
      </c>
      <c r="X184" s="449" t="str">
        <f t="shared" si="18"/>
        <v/>
      </c>
      <c r="Y184" s="449" t="str">
        <f t="shared" si="16"/>
        <v/>
      </c>
      <c r="Z184" s="449" t="str">
        <f t="shared" si="17"/>
        <v/>
      </c>
    </row>
    <row r="185" spans="21:26" x14ac:dyDescent="0.25">
      <c r="U185" s="449" t="str">
        <f t="shared" si="13"/>
        <v/>
      </c>
      <c r="V185" s="449" t="str">
        <f t="shared" si="14"/>
        <v/>
      </c>
      <c r="W185" s="449" t="str">
        <f t="shared" si="15"/>
        <v/>
      </c>
      <c r="X185" s="449" t="str">
        <f t="shared" si="18"/>
        <v/>
      </c>
      <c r="Y185" s="449" t="str">
        <f t="shared" si="16"/>
        <v/>
      </c>
      <c r="Z185" s="449" t="str">
        <f t="shared" si="17"/>
        <v/>
      </c>
    </row>
    <row r="186" spans="21:26" x14ac:dyDescent="0.25">
      <c r="U186" s="449" t="str">
        <f t="shared" si="13"/>
        <v/>
      </c>
      <c r="V186" s="449" t="str">
        <f t="shared" si="14"/>
        <v/>
      </c>
      <c r="W186" s="449" t="str">
        <f t="shared" si="15"/>
        <v/>
      </c>
      <c r="X186" s="449" t="str">
        <f t="shared" si="18"/>
        <v/>
      </c>
      <c r="Y186" s="449" t="str">
        <f t="shared" si="16"/>
        <v/>
      </c>
      <c r="Z186" s="449" t="str">
        <f t="shared" si="17"/>
        <v/>
      </c>
    </row>
    <row r="187" spans="21:26" x14ac:dyDescent="0.25">
      <c r="U187" s="449" t="str">
        <f t="shared" si="13"/>
        <v/>
      </c>
      <c r="V187" s="449" t="str">
        <f t="shared" si="14"/>
        <v/>
      </c>
      <c r="W187" s="449" t="str">
        <f t="shared" si="15"/>
        <v/>
      </c>
      <c r="X187" s="449" t="str">
        <f t="shared" si="18"/>
        <v/>
      </c>
      <c r="Y187" s="449" t="str">
        <f t="shared" si="16"/>
        <v/>
      </c>
      <c r="Z187" s="449" t="str">
        <f t="shared" si="17"/>
        <v/>
      </c>
    </row>
    <row r="188" spans="21:26" x14ac:dyDescent="0.25">
      <c r="U188" s="449" t="str">
        <f t="shared" si="13"/>
        <v/>
      </c>
      <c r="V188" s="449" t="str">
        <f t="shared" si="14"/>
        <v/>
      </c>
      <c r="W188" s="449" t="str">
        <f t="shared" si="15"/>
        <v/>
      </c>
      <c r="X188" s="449" t="str">
        <f t="shared" si="18"/>
        <v/>
      </c>
      <c r="Y188" s="449" t="str">
        <f t="shared" si="16"/>
        <v/>
      </c>
      <c r="Z188" s="449" t="str">
        <f t="shared" si="17"/>
        <v/>
      </c>
    </row>
    <row r="189" spans="21:26" x14ac:dyDescent="0.25">
      <c r="U189" s="449" t="str">
        <f t="shared" si="13"/>
        <v/>
      </c>
      <c r="V189" s="449" t="str">
        <f t="shared" si="14"/>
        <v/>
      </c>
      <c r="W189" s="449" t="str">
        <f t="shared" si="15"/>
        <v/>
      </c>
      <c r="X189" s="449" t="str">
        <f t="shared" si="18"/>
        <v/>
      </c>
      <c r="Y189" s="449" t="str">
        <f t="shared" si="16"/>
        <v/>
      </c>
      <c r="Z189" s="449" t="str">
        <f t="shared" si="17"/>
        <v/>
      </c>
    </row>
    <row r="190" spans="21:26" x14ac:dyDescent="0.25">
      <c r="U190" s="449" t="str">
        <f t="shared" si="13"/>
        <v/>
      </c>
      <c r="V190" s="449" t="str">
        <f t="shared" si="14"/>
        <v/>
      </c>
      <c r="W190" s="449" t="str">
        <f t="shared" si="15"/>
        <v/>
      </c>
      <c r="X190" s="449" t="str">
        <f t="shared" si="18"/>
        <v/>
      </c>
      <c r="Y190" s="449" t="str">
        <f t="shared" si="16"/>
        <v/>
      </c>
      <c r="Z190" s="449" t="str">
        <f t="shared" si="17"/>
        <v/>
      </c>
    </row>
    <row r="191" spans="21:26" x14ac:dyDescent="0.25">
      <c r="U191" s="449" t="str">
        <f t="shared" si="13"/>
        <v/>
      </c>
      <c r="V191" s="449" t="str">
        <f t="shared" si="14"/>
        <v/>
      </c>
      <c r="W191" s="449" t="str">
        <f t="shared" si="15"/>
        <v/>
      </c>
      <c r="X191" s="449" t="str">
        <f t="shared" si="18"/>
        <v/>
      </c>
      <c r="Y191" s="449" t="str">
        <f t="shared" si="16"/>
        <v/>
      </c>
      <c r="Z191" s="449" t="str">
        <f t="shared" si="17"/>
        <v/>
      </c>
    </row>
    <row r="192" spans="21:26" x14ac:dyDescent="0.25">
      <c r="U192" s="449" t="str">
        <f t="shared" si="13"/>
        <v/>
      </c>
      <c r="V192" s="449" t="str">
        <f t="shared" si="14"/>
        <v/>
      </c>
      <c r="W192" s="449" t="str">
        <f t="shared" si="15"/>
        <v/>
      </c>
      <c r="X192" s="449" t="str">
        <f t="shared" si="18"/>
        <v/>
      </c>
      <c r="Y192" s="449" t="str">
        <f t="shared" si="16"/>
        <v/>
      </c>
      <c r="Z192" s="449" t="str">
        <f t="shared" si="17"/>
        <v/>
      </c>
    </row>
    <row r="193" spans="21:26" x14ac:dyDescent="0.25">
      <c r="U193" s="449" t="str">
        <f t="shared" si="13"/>
        <v/>
      </c>
      <c r="V193" s="449" t="str">
        <f t="shared" si="14"/>
        <v/>
      </c>
      <c r="W193" s="449" t="str">
        <f t="shared" si="15"/>
        <v/>
      </c>
      <c r="X193" s="449" t="str">
        <f t="shared" si="18"/>
        <v/>
      </c>
      <c r="Y193" s="449" t="str">
        <f t="shared" si="16"/>
        <v/>
      </c>
      <c r="Z193" s="449" t="str">
        <f t="shared" si="17"/>
        <v/>
      </c>
    </row>
    <row r="194" spans="21:26" x14ac:dyDescent="0.25">
      <c r="U194" s="449" t="str">
        <f t="shared" si="13"/>
        <v/>
      </c>
      <c r="V194" s="449" t="str">
        <f t="shared" si="14"/>
        <v/>
      </c>
      <c r="W194" s="449" t="str">
        <f t="shared" si="15"/>
        <v/>
      </c>
      <c r="X194" s="449" t="str">
        <f t="shared" si="18"/>
        <v/>
      </c>
      <c r="Y194" s="449" t="str">
        <f t="shared" si="16"/>
        <v/>
      </c>
      <c r="Z194" s="449" t="str">
        <f t="shared" si="17"/>
        <v/>
      </c>
    </row>
    <row r="195" spans="21:26" x14ac:dyDescent="0.25">
      <c r="U195" s="449" t="str">
        <f t="shared" si="13"/>
        <v/>
      </c>
      <c r="V195" s="449" t="str">
        <f t="shared" si="14"/>
        <v/>
      </c>
      <c r="W195" s="449" t="str">
        <f t="shared" si="15"/>
        <v/>
      </c>
      <c r="X195" s="449" t="str">
        <f t="shared" si="18"/>
        <v/>
      </c>
      <c r="Y195" s="449" t="str">
        <f t="shared" si="16"/>
        <v/>
      </c>
      <c r="Z195" s="449" t="str">
        <f t="shared" si="17"/>
        <v/>
      </c>
    </row>
    <row r="196" spans="21:26" x14ac:dyDescent="0.25">
      <c r="U196" s="449" t="str">
        <f t="shared" ref="U196:U259" si="19">IF(AB196="","",LEFT(W196,2)&amp;"00")</f>
        <v/>
      </c>
      <c r="V196" s="449" t="str">
        <f t="shared" ref="V196:V259" si="20">IF(W196="","",IF(AND(W196&gt;"1109",W196&lt;"1172"),"1",IF(OR(W196="3111",W196="3113",W196="3117",W196="3204",W196="3214",W196="3216",W196="3373",W196="3376",W196="3803"),"1",IF(LEFT(W196,1)="1",IF(OR(LEFT(W196,2)="10",LEFT(W196,2)="12",LEFT(W196,2)="16",LEFT(W196,2)="18",LEFT(W196,2)="19"),"19",LEFT(W196,2)),LEFT(W196,1)&amp;"000"))))</f>
        <v/>
      </c>
      <c r="W196" s="449" t="str">
        <f t="shared" ref="W196:W259" si="21">LEFT(AB196,4)</f>
        <v/>
      </c>
      <c r="X196" s="449" t="str">
        <f t="shared" si="18"/>
        <v/>
      </c>
      <c r="Y196" s="449" t="str">
        <f t="shared" ref="Y196:Y200" si="22">IF(AB196="","",IF(OR(LEFT(AB196,1)="1",LEFT(AB196,1)="2",LEFT(AB196,1)="3",LEFT(AB196,1)="4"),LEFT(AB196,1)&amp;"000","9000"))</f>
        <v/>
      </c>
      <c r="Z196" s="449" t="str">
        <f t="shared" ref="Z196:Z200" si="23">LEFT(AA196,2)</f>
        <v/>
      </c>
    </row>
    <row r="197" spans="21:26" x14ac:dyDescent="0.25">
      <c r="U197" s="449" t="str">
        <f t="shared" si="19"/>
        <v/>
      </c>
      <c r="V197" s="449" t="str">
        <f t="shared" si="20"/>
        <v/>
      </c>
      <c r="W197" s="449" t="str">
        <f t="shared" si="21"/>
        <v/>
      </c>
      <c r="X197" s="449" t="str">
        <f t="shared" si="18"/>
        <v/>
      </c>
      <c r="Y197" s="449" t="str">
        <f t="shared" si="22"/>
        <v/>
      </c>
      <c r="Z197" s="449" t="str">
        <f t="shared" si="23"/>
        <v/>
      </c>
    </row>
    <row r="198" spans="21:26" x14ac:dyDescent="0.25">
      <c r="U198" s="449" t="str">
        <f t="shared" si="19"/>
        <v/>
      </c>
      <c r="V198" s="449" t="str">
        <f t="shared" si="20"/>
        <v/>
      </c>
      <c r="W198" s="449" t="str">
        <f t="shared" si="21"/>
        <v/>
      </c>
      <c r="X198" s="449" t="str">
        <f t="shared" si="18"/>
        <v/>
      </c>
      <c r="Y198" s="449" t="str">
        <f t="shared" si="22"/>
        <v/>
      </c>
      <c r="Z198" s="449" t="str">
        <f t="shared" si="23"/>
        <v/>
      </c>
    </row>
    <row r="199" spans="21:26" x14ac:dyDescent="0.25">
      <c r="U199" s="449" t="str">
        <f t="shared" si="19"/>
        <v/>
      </c>
      <c r="V199" s="449" t="str">
        <f t="shared" si="20"/>
        <v/>
      </c>
      <c r="W199" s="449" t="str">
        <f t="shared" si="21"/>
        <v/>
      </c>
      <c r="X199" s="449" t="str">
        <f t="shared" si="18"/>
        <v/>
      </c>
      <c r="Y199" s="449" t="str">
        <f t="shared" si="22"/>
        <v/>
      </c>
      <c r="Z199" s="449" t="str">
        <f t="shared" si="23"/>
        <v/>
      </c>
    </row>
    <row r="200" spans="21:26" x14ac:dyDescent="0.25">
      <c r="U200" s="449" t="str">
        <f t="shared" si="19"/>
        <v/>
      </c>
      <c r="V200" s="449" t="str">
        <f t="shared" si="20"/>
        <v/>
      </c>
      <c r="W200" s="449" t="str">
        <f t="shared" si="21"/>
        <v/>
      </c>
      <c r="X200" s="449" t="str">
        <f t="shared" si="18"/>
        <v/>
      </c>
      <c r="Y200" s="449" t="str">
        <f t="shared" si="22"/>
        <v/>
      </c>
      <c r="Z200" s="449" t="str">
        <f t="shared" si="23"/>
        <v/>
      </c>
    </row>
    <row r="201" spans="21:26" x14ac:dyDescent="0.25">
      <c r="U201" s="449" t="str">
        <f t="shared" si="19"/>
        <v/>
      </c>
      <c r="V201" s="449" t="str">
        <f t="shared" si="20"/>
        <v/>
      </c>
      <c r="W201" s="449" t="str">
        <f t="shared" si="21"/>
        <v/>
      </c>
      <c r="X201" s="449" t="str">
        <f t="shared" ref="X201:X264" si="24">IF(Z201="","",IF(OR(Z201="21",Z201="22",Z201="36",Z201="61",Z201="24"),Z201,LEFT(Z201,1)&amp;"0"))</f>
        <v/>
      </c>
      <c r="Y201" s="449" t="str">
        <f t="shared" ref="Y201:Y264" si="25">IF(AB201="","",IF(OR(LEFT(AB201,1)="1",LEFT(AB201,1)="2",LEFT(AB201,1)="3",LEFT(AB201,1)="4"),LEFT(AB201,1)&amp;"000","9000"))</f>
        <v/>
      </c>
      <c r="Z201" s="449" t="str">
        <f t="shared" ref="Z201:Z264" si="26">LEFT(AA201,2)</f>
        <v/>
      </c>
    </row>
    <row r="202" spans="21:26" x14ac:dyDescent="0.25">
      <c r="U202" s="449" t="str">
        <f t="shared" si="19"/>
        <v/>
      </c>
      <c r="V202" s="449" t="str">
        <f t="shared" si="20"/>
        <v/>
      </c>
      <c r="W202" s="449" t="str">
        <f t="shared" si="21"/>
        <v/>
      </c>
      <c r="X202" s="449" t="str">
        <f t="shared" si="24"/>
        <v/>
      </c>
      <c r="Y202" s="449" t="str">
        <f t="shared" si="25"/>
        <v/>
      </c>
      <c r="Z202" s="449" t="str">
        <f t="shared" si="26"/>
        <v/>
      </c>
    </row>
    <row r="203" spans="21:26" x14ac:dyDescent="0.25">
      <c r="U203" s="449" t="str">
        <f t="shared" si="19"/>
        <v/>
      </c>
      <c r="V203" s="449" t="str">
        <f t="shared" si="20"/>
        <v/>
      </c>
      <c r="W203" s="449" t="str">
        <f t="shared" si="21"/>
        <v/>
      </c>
      <c r="X203" s="449" t="str">
        <f t="shared" si="24"/>
        <v/>
      </c>
      <c r="Y203" s="449" t="str">
        <f t="shared" si="25"/>
        <v/>
      </c>
      <c r="Z203" s="449" t="str">
        <f t="shared" si="26"/>
        <v/>
      </c>
    </row>
    <row r="204" spans="21:26" x14ac:dyDescent="0.25">
      <c r="U204" s="449" t="str">
        <f t="shared" si="19"/>
        <v/>
      </c>
      <c r="V204" s="449" t="str">
        <f t="shared" si="20"/>
        <v/>
      </c>
      <c r="W204" s="449" t="str">
        <f t="shared" si="21"/>
        <v/>
      </c>
      <c r="X204" s="449" t="str">
        <f t="shared" si="24"/>
        <v/>
      </c>
      <c r="Y204" s="449" t="str">
        <f t="shared" si="25"/>
        <v/>
      </c>
      <c r="Z204" s="449" t="str">
        <f t="shared" si="26"/>
        <v/>
      </c>
    </row>
    <row r="205" spans="21:26" x14ac:dyDescent="0.25">
      <c r="U205" s="449" t="str">
        <f t="shared" si="19"/>
        <v/>
      </c>
      <c r="V205" s="449" t="str">
        <f t="shared" si="20"/>
        <v/>
      </c>
      <c r="W205" s="449" t="str">
        <f t="shared" si="21"/>
        <v/>
      </c>
      <c r="X205" s="449" t="str">
        <f t="shared" si="24"/>
        <v/>
      </c>
      <c r="Y205" s="449" t="str">
        <f t="shared" si="25"/>
        <v/>
      </c>
      <c r="Z205" s="449" t="str">
        <f t="shared" si="26"/>
        <v/>
      </c>
    </row>
    <row r="206" spans="21:26" x14ac:dyDescent="0.25">
      <c r="U206" s="449" t="str">
        <f t="shared" si="19"/>
        <v/>
      </c>
      <c r="V206" s="449" t="str">
        <f t="shared" si="20"/>
        <v/>
      </c>
      <c r="W206" s="449" t="str">
        <f t="shared" si="21"/>
        <v/>
      </c>
      <c r="X206" s="449" t="str">
        <f t="shared" si="24"/>
        <v/>
      </c>
      <c r="Y206" s="449" t="str">
        <f t="shared" si="25"/>
        <v/>
      </c>
      <c r="Z206" s="449" t="str">
        <f t="shared" si="26"/>
        <v/>
      </c>
    </row>
    <row r="207" spans="21:26" x14ac:dyDescent="0.25">
      <c r="U207" s="449" t="str">
        <f t="shared" si="19"/>
        <v/>
      </c>
      <c r="V207" s="449" t="str">
        <f t="shared" si="20"/>
        <v/>
      </c>
      <c r="W207" s="449" t="str">
        <f t="shared" si="21"/>
        <v/>
      </c>
      <c r="X207" s="449" t="str">
        <f t="shared" si="24"/>
        <v/>
      </c>
      <c r="Y207" s="449" t="str">
        <f t="shared" si="25"/>
        <v/>
      </c>
      <c r="Z207" s="449" t="str">
        <f t="shared" si="26"/>
        <v/>
      </c>
    </row>
    <row r="208" spans="21:26" x14ac:dyDescent="0.25">
      <c r="U208" s="449" t="str">
        <f t="shared" si="19"/>
        <v/>
      </c>
      <c r="V208" s="449" t="str">
        <f t="shared" si="20"/>
        <v/>
      </c>
      <c r="W208" s="449" t="str">
        <f t="shared" si="21"/>
        <v/>
      </c>
      <c r="X208" s="449" t="str">
        <f t="shared" si="24"/>
        <v/>
      </c>
      <c r="Y208" s="449" t="str">
        <f t="shared" si="25"/>
        <v/>
      </c>
      <c r="Z208" s="449" t="str">
        <f t="shared" si="26"/>
        <v/>
      </c>
    </row>
    <row r="209" spans="21:26" x14ac:dyDescent="0.25">
      <c r="U209" s="449" t="str">
        <f t="shared" si="19"/>
        <v/>
      </c>
      <c r="V209" s="449" t="str">
        <f t="shared" si="20"/>
        <v/>
      </c>
      <c r="W209" s="449" t="str">
        <f t="shared" si="21"/>
        <v/>
      </c>
      <c r="X209" s="449" t="str">
        <f t="shared" si="24"/>
        <v/>
      </c>
      <c r="Y209" s="449" t="str">
        <f t="shared" si="25"/>
        <v/>
      </c>
      <c r="Z209" s="449" t="str">
        <f t="shared" si="26"/>
        <v/>
      </c>
    </row>
    <row r="210" spans="21:26" x14ac:dyDescent="0.25">
      <c r="U210" s="449" t="str">
        <f t="shared" si="19"/>
        <v/>
      </c>
      <c r="V210" s="449" t="str">
        <f t="shared" si="20"/>
        <v/>
      </c>
      <c r="W210" s="449" t="str">
        <f t="shared" si="21"/>
        <v/>
      </c>
      <c r="X210" s="449" t="str">
        <f t="shared" si="24"/>
        <v/>
      </c>
      <c r="Y210" s="449" t="str">
        <f t="shared" si="25"/>
        <v/>
      </c>
      <c r="Z210" s="449" t="str">
        <f t="shared" si="26"/>
        <v/>
      </c>
    </row>
    <row r="211" spans="21:26" x14ac:dyDescent="0.25">
      <c r="U211" s="449" t="str">
        <f t="shared" si="19"/>
        <v/>
      </c>
      <c r="V211" s="449" t="str">
        <f t="shared" si="20"/>
        <v/>
      </c>
      <c r="W211" s="449" t="str">
        <f t="shared" si="21"/>
        <v/>
      </c>
      <c r="X211" s="449" t="str">
        <f t="shared" si="24"/>
        <v/>
      </c>
      <c r="Y211" s="449" t="str">
        <f t="shared" si="25"/>
        <v/>
      </c>
      <c r="Z211" s="449" t="str">
        <f t="shared" si="26"/>
        <v/>
      </c>
    </row>
    <row r="212" spans="21:26" x14ac:dyDescent="0.25">
      <c r="U212" s="449" t="str">
        <f t="shared" si="19"/>
        <v/>
      </c>
      <c r="V212" s="449" t="str">
        <f t="shared" si="20"/>
        <v/>
      </c>
      <c r="W212" s="449" t="str">
        <f t="shared" si="21"/>
        <v/>
      </c>
      <c r="X212" s="449" t="str">
        <f t="shared" si="24"/>
        <v/>
      </c>
      <c r="Y212" s="449" t="str">
        <f t="shared" si="25"/>
        <v/>
      </c>
      <c r="Z212" s="449" t="str">
        <f t="shared" si="26"/>
        <v/>
      </c>
    </row>
    <row r="213" spans="21:26" x14ac:dyDescent="0.25">
      <c r="U213" s="449" t="str">
        <f t="shared" si="19"/>
        <v/>
      </c>
      <c r="V213" s="449" t="str">
        <f t="shared" si="20"/>
        <v/>
      </c>
      <c r="W213" s="449" t="str">
        <f t="shared" si="21"/>
        <v/>
      </c>
      <c r="X213" s="449" t="str">
        <f t="shared" si="24"/>
        <v/>
      </c>
      <c r="Y213" s="449" t="str">
        <f t="shared" si="25"/>
        <v/>
      </c>
      <c r="Z213" s="449" t="str">
        <f t="shared" si="26"/>
        <v/>
      </c>
    </row>
    <row r="214" spans="21:26" x14ac:dyDescent="0.25">
      <c r="U214" s="449" t="str">
        <f t="shared" si="19"/>
        <v/>
      </c>
      <c r="V214" s="449" t="str">
        <f t="shared" si="20"/>
        <v/>
      </c>
      <c r="W214" s="449" t="str">
        <f t="shared" si="21"/>
        <v/>
      </c>
      <c r="X214" s="449" t="str">
        <f t="shared" si="24"/>
        <v/>
      </c>
      <c r="Y214" s="449" t="str">
        <f t="shared" si="25"/>
        <v/>
      </c>
      <c r="Z214" s="449" t="str">
        <f t="shared" si="26"/>
        <v/>
      </c>
    </row>
    <row r="215" spans="21:26" x14ac:dyDescent="0.25">
      <c r="U215" s="449" t="str">
        <f t="shared" si="19"/>
        <v/>
      </c>
      <c r="V215" s="449" t="str">
        <f t="shared" si="20"/>
        <v/>
      </c>
      <c r="W215" s="449" t="str">
        <f t="shared" si="21"/>
        <v/>
      </c>
      <c r="X215" s="449" t="str">
        <f t="shared" si="24"/>
        <v/>
      </c>
      <c r="Y215" s="449" t="str">
        <f t="shared" si="25"/>
        <v/>
      </c>
      <c r="Z215" s="449" t="str">
        <f t="shared" si="26"/>
        <v/>
      </c>
    </row>
    <row r="216" spans="21:26" x14ac:dyDescent="0.25">
      <c r="U216" s="449" t="str">
        <f t="shared" si="19"/>
        <v/>
      </c>
      <c r="V216" s="449" t="str">
        <f t="shared" si="20"/>
        <v/>
      </c>
      <c r="W216" s="449" t="str">
        <f t="shared" si="21"/>
        <v/>
      </c>
      <c r="X216" s="449" t="str">
        <f t="shared" si="24"/>
        <v/>
      </c>
      <c r="Y216" s="449" t="str">
        <f t="shared" si="25"/>
        <v/>
      </c>
      <c r="Z216" s="449" t="str">
        <f t="shared" si="26"/>
        <v/>
      </c>
    </row>
    <row r="217" spans="21:26" x14ac:dyDescent="0.25">
      <c r="U217" s="449" t="str">
        <f t="shared" si="19"/>
        <v/>
      </c>
      <c r="V217" s="449" t="str">
        <f t="shared" si="20"/>
        <v/>
      </c>
      <c r="W217" s="449" t="str">
        <f t="shared" si="21"/>
        <v/>
      </c>
      <c r="X217" s="449" t="str">
        <f t="shared" si="24"/>
        <v/>
      </c>
      <c r="Y217" s="449" t="str">
        <f t="shared" si="25"/>
        <v/>
      </c>
      <c r="Z217" s="449" t="str">
        <f t="shared" si="26"/>
        <v/>
      </c>
    </row>
    <row r="218" spans="21:26" x14ac:dyDescent="0.25">
      <c r="U218" s="449" t="str">
        <f t="shared" si="19"/>
        <v/>
      </c>
      <c r="V218" s="449" t="str">
        <f t="shared" si="20"/>
        <v/>
      </c>
      <c r="W218" s="449" t="str">
        <f t="shared" si="21"/>
        <v/>
      </c>
      <c r="X218" s="449" t="str">
        <f t="shared" si="24"/>
        <v/>
      </c>
      <c r="Y218" s="449" t="str">
        <f t="shared" si="25"/>
        <v/>
      </c>
      <c r="Z218" s="449" t="str">
        <f t="shared" si="26"/>
        <v/>
      </c>
    </row>
    <row r="219" spans="21:26" x14ac:dyDescent="0.25">
      <c r="U219" s="449" t="str">
        <f t="shared" si="19"/>
        <v/>
      </c>
      <c r="V219" s="449" t="str">
        <f t="shared" si="20"/>
        <v/>
      </c>
      <c r="W219" s="449" t="str">
        <f t="shared" si="21"/>
        <v/>
      </c>
      <c r="X219" s="449" t="str">
        <f t="shared" si="24"/>
        <v/>
      </c>
      <c r="Y219" s="449" t="str">
        <f t="shared" si="25"/>
        <v/>
      </c>
      <c r="Z219" s="449" t="str">
        <f t="shared" si="26"/>
        <v/>
      </c>
    </row>
    <row r="220" spans="21:26" x14ac:dyDescent="0.25">
      <c r="U220" s="449" t="str">
        <f t="shared" si="19"/>
        <v/>
      </c>
      <c r="V220" s="449" t="str">
        <f t="shared" si="20"/>
        <v/>
      </c>
      <c r="W220" s="449" t="str">
        <f t="shared" si="21"/>
        <v/>
      </c>
      <c r="X220" s="449" t="str">
        <f t="shared" si="24"/>
        <v/>
      </c>
      <c r="Y220" s="449" t="str">
        <f t="shared" si="25"/>
        <v/>
      </c>
      <c r="Z220" s="449" t="str">
        <f t="shared" si="26"/>
        <v/>
      </c>
    </row>
    <row r="221" spans="21:26" x14ac:dyDescent="0.25">
      <c r="U221" s="449" t="str">
        <f t="shared" si="19"/>
        <v/>
      </c>
      <c r="V221" s="449" t="str">
        <f t="shared" si="20"/>
        <v/>
      </c>
      <c r="W221" s="449" t="str">
        <f t="shared" si="21"/>
        <v/>
      </c>
      <c r="X221" s="449" t="str">
        <f t="shared" si="24"/>
        <v/>
      </c>
      <c r="Y221" s="449" t="str">
        <f t="shared" si="25"/>
        <v/>
      </c>
      <c r="Z221" s="449" t="str">
        <f t="shared" si="26"/>
        <v/>
      </c>
    </row>
    <row r="222" spans="21:26" x14ac:dyDescent="0.25">
      <c r="U222" s="449" t="str">
        <f t="shared" si="19"/>
        <v/>
      </c>
      <c r="V222" s="449" t="str">
        <f t="shared" si="20"/>
        <v/>
      </c>
      <c r="W222" s="449" t="str">
        <f t="shared" si="21"/>
        <v/>
      </c>
      <c r="X222" s="449" t="str">
        <f t="shared" si="24"/>
        <v/>
      </c>
      <c r="Y222" s="449" t="str">
        <f t="shared" si="25"/>
        <v/>
      </c>
      <c r="Z222" s="449" t="str">
        <f t="shared" si="26"/>
        <v/>
      </c>
    </row>
    <row r="223" spans="21:26" x14ac:dyDescent="0.25">
      <c r="U223" s="449" t="str">
        <f t="shared" si="19"/>
        <v/>
      </c>
      <c r="V223" s="449" t="str">
        <f t="shared" si="20"/>
        <v/>
      </c>
      <c r="W223" s="449" t="str">
        <f t="shared" si="21"/>
        <v/>
      </c>
      <c r="X223" s="449" t="str">
        <f t="shared" si="24"/>
        <v/>
      </c>
      <c r="Y223" s="449" t="str">
        <f t="shared" si="25"/>
        <v/>
      </c>
      <c r="Z223" s="449" t="str">
        <f t="shared" si="26"/>
        <v/>
      </c>
    </row>
    <row r="224" spans="21:26" x14ac:dyDescent="0.25">
      <c r="U224" s="449" t="str">
        <f t="shared" si="19"/>
        <v/>
      </c>
      <c r="V224" s="449" t="str">
        <f t="shared" si="20"/>
        <v/>
      </c>
      <c r="W224" s="449" t="str">
        <f t="shared" si="21"/>
        <v/>
      </c>
      <c r="X224" s="449" t="str">
        <f t="shared" si="24"/>
        <v/>
      </c>
      <c r="Y224" s="449" t="str">
        <f t="shared" si="25"/>
        <v/>
      </c>
      <c r="Z224" s="449" t="str">
        <f t="shared" si="26"/>
        <v/>
      </c>
    </row>
    <row r="225" spans="21:26" x14ac:dyDescent="0.25">
      <c r="U225" s="449" t="str">
        <f t="shared" si="19"/>
        <v/>
      </c>
      <c r="V225" s="449" t="str">
        <f t="shared" si="20"/>
        <v/>
      </c>
      <c r="W225" s="449" t="str">
        <f t="shared" si="21"/>
        <v/>
      </c>
      <c r="X225" s="449" t="str">
        <f t="shared" si="24"/>
        <v/>
      </c>
      <c r="Y225" s="449" t="str">
        <f t="shared" si="25"/>
        <v/>
      </c>
      <c r="Z225" s="449" t="str">
        <f t="shared" si="26"/>
        <v/>
      </c>
    </row>
    <row r="226" spans="21:26" x14ac:dyDescent="0.25">
      <c r="U226" s="449" t="str">
        <f t="shared" si="19"/>
        <v/>
      </c>
      <c r="V226" s="449" t="str">
        <f t="shared" si="20"/>
        <v/>
      </c>
      <c r="W226" s="449" t="str">
        <f t="shared" si="21"/>
        <v/>
      </c>
      <c r="X226" s="449" t="str">
        <f t="shared" si="24"/>
        <v/>
      </c>
      <c r="Y226" s="449" t="str">
        <f t="shared" si="25"/>
        <v/>
      </c>
      <c r="Z226" s="449" t="str">
        <f t="shared" si="26"/>
        <v/>
      </c>
    </row>
    <row r="227" spans="21:26" x14ac:dyDescent="0.25">
      <c r="U227" s="449" t="str">
        <f t="shared" si="19"/>
        <v/>
      </c>
      <c r="V227" s="449" t="str">
        <f t="shared" si="20"/>
        <v/>
      </c>
      <c r="W227" s="449" t="str">
        <f t="shared" si="21"/>
        <v/>
      </c>
      <c r="X227" s="449" t="str">
        <f t="shared" si="24"/>
        <v/>
      </c>
      <c r="Y227" s="449" t="str">
        <f t="shared" si="25"/>
        <v/>
      </c>
      <c r="Z227" s="449" t="str">
        <f t="shared" si="26"/>
        <v/>
      </c>
    </row>
    <row r="228" spans="21:26" x14ac:dyDescent="0.25">
      <c r="U228" s="449" t="str">
        <f t="shared" si="19"/>
        <v/>
      </c>
      <c r="V228" s="449" t="str">
        <f t="shared" si="20"/>
        <v/>
      </c>
      <c r="W228" s="449" t="str">
        <f t="shared" si="21"/>
        <v/>
      </c>
      <c r="X228" s="449" t="str">
        <f t="shared" si="24"/>
        <v/>
      </c>
      <c r="Y228" s="449" t="str">
        <f t="shared" si="25"/>
        <v/>
      </c>
      <c r="Z228" s="449" t="str">
        <f t="shared" si="26"/>
        <v/>
      </c>
    </row>
    <row r="229" spans="21:26" x14ac:dyDescent="0.25">
      <c r="U229" s="449" t="str">
        <f t="shared" si="19"/>
        <v/>
      </c>
      <c r="V229" s="449" t="str">
        <f t="shared" si="20"/>
        <v/>
      </c>
      <c r="W229" s="449" t="str">
        <f t="shared" si="21"/>
        <v/>
      </c>
      <c r="X229" s="449" t="str">
        <f t="shared" si="24"/>
        <v/>
      </c>
      <c r="Y229" s="449" t="str">
        <f t="shared" si="25"/>
        <v/>
      </c>
      <c r="Z229" s="449" t="str">
        <f t="shared" si="26"/>
        <v/>
      </c>
    </row>
    <row r="230" spans="21:26" x14ac:dyDescent="0.25">
      <c r="U230" s="449" t="str">
        <f t="shared" si="19"/>
        <v/>
      </c>
      <c r="V230" s="449" t="str">
        <f t="shared" si="20"/>
        <v/>
      </c>
      <c r="W230" s="449" t="str">
        <f t="shared" si="21"/>
        <v/>
      </c>
      <c r="X230" s="449" t="str">
        <f t="shared" si="24"/>
        <v/>
      </c>
      <c r="Y230" s="449" t="str">
        <f t="shared" si="25"/>
        <v/>
      </c>
      <c r="Z230" s="449" t="str">
        <f t="shared" si="26"/>
        <v/>
      </c>
    </row>
    <row r="231" spans="21:26" x14ac:dyDescent="0.25">
      <c r="U231" s="449" t="str">
        <f t="shared" si="19"/>
        <v/>
      </c>
      <c r="V231" s="449" t="str">
        <f t="shared" si="20"/>
        <v/>
      </c>
      <c r="W231" s="449" t="str">
        <f t="shared" si="21"/>
        <v/>
      </c>
      <c r="X231" s="449" t="str">
        <f t="shared" si="24"/>
        <v/>
      </c>
      <c r="Y231" s="449" t="str">
        <f t="shared" si="25"/>
        <v/>
      </c>
      <c r="Z231" s="449" t="str">
        <f t="shared" si="26"/>
        <v/>
      </c>
    </row>
    <row r="232" spans="21:26" x14ac:dyDescent="0.25">
      <c r="U232" s="449" t="str">
        <f t="shared" si="19"/>
        <v/>
      </c>
      <c r="V232" s="449" t="str">
        <f t="shared" si="20"/>
        <v/>
      </c>
      <c r="W232" s="449" t="str">
        <f t="shared" si="21"/>
        <v/>
      </c>
      <c r="X232" s="449" t="str">
        <f t="shared" si="24"/>
        <v/>
      </c>
      <c r="Y232" s="449" t="str">
        <f t="shared" si="25"/>
        <v/>
      </c>
      <c r="Z232" s="449" t="str">
        <f t="shared" si="26"/>
        <v/>
      </c>
    </row>
    <row r="233" spans="21:26" x14ac:dyDescent="0.25">
      <c r="U233" s="449" t="str">
        <f t="shared" si="19"/>
        <v/>
      </c>
      <c r="V233" s="449" t="str">
        <f t="shared" si="20"/>
        <v/>
      </c>
      <c r="W233" s="449" t="str">
        <f t="shared" si="21"/>
        <v/>
      </c>
      <c r="X233" s="449" t="str">
        <f t="shared" si="24"/>
        <v/>
      </c>
      <c r="Y233" s="449" t="str">
        <f t="shared" si="25"/>
        <v/>
      </c>
      <c r="Z233" s="449" t="str">
        <f t="shared" si="26"/>
        <v/>
      </c>
    </row>
    <row r="234" spans="21:26" x14ac:dyDescent="0.25">
      <c r="U234" s="449" t="str">
        <f t="shared" si="19"/>
        <v/>
      </c>
      <c r="V234" s="449" t="str">
        <f t="shared" si="20"/>
        <v/>
      </c>
      <c r="W234" s="449" t="str">
        <f t="shared" si="21"/>
        <v/>
      </c>
      <c r="X234" s="449" t="str">
        <f t="shared" si="24"/>
        <v/>
      </c>
      <c r="Y234" s="449" t="str">
        <f t="shared" si="25"/>
        <v/>
      </c>
      <c r="Z234" s="449" t="str">
        <f t="shared" si="26"/>
        <v/>
      </c>
    </row>
    <row r="235" spans="21:26" x14ac:dyDescent="0.25">
      <c r="U235" s="449" t="str">
        <f t="shared" si="19"/>
        <v/>
      </c>
      <c r="V235" s="449" t="str">
        <f t="shared" si="20"/>
        <v/>
      </c>
      <c r="W235" s="449" t="str">
        <f t="shared" si="21"/>
        <v/>
      </c>
      <c r="X235" s="449" t="str">
        <f t="shared" si="24"/>
        <v/>
      </c>
      <c r="Y235" s="449" t="str">
        <f t="shared" si="25"/>
        <v/>
      </c>
      <c r="Z235" s="449" t="str">
        <f t="shared" si="26"/>
        <v/>
      </c>
    </row>
    <row r="236" spans="21:26" x14ac:dyDescent="0.25">
      <c r="U236" s="449" t="str">
        <f t="shared" si="19"/>
        <v/>
      </c>
      <c r="V236" s="449" t="str">
        <f t="shared" si="20"/>
        <v/>
      </c>
      <c r="W236" s="449" t="str">
        <f t="shared" si="21"/>
        <v/>
      </c>
      <c r="X236" s="449" t="str">
        <f t="shared" si="24"/>
        <v/>
      </c>
      <c r="Y236" s="449" t="str">
        <f t="shared" si="25"/>
        <v/>
      </c>
      <c r="Z236" s="449" t="str">
        <f t="shared" si="26"/>
        <v/>
      </c>
    </row>
    <row r="237" spans="21:26" x14ac:dyDescent="0.25">
      <c r="U237" s="449" t="str">
        <f t="shared" si="19"/>
        <v/>
      </c>
      <c r="V237" s="449" t="str">
        <f t="shared" si="20"/>
        <v/>
      </c>
      <c r="W237" s="449" t="str">
        <f t="shared" si="21"/>
        <v/>
      </c>
      <c r="X237" s="449" t="str">
        <f t="shared" si="24"/>
        <v/>
      </c>
      <c r="Y237" s="449" t="str">
        <f t="shared" si="25"/>
        <v/>
      </c>
      <c r="Z237" s="449" t="str">
        <f t="shared" si="26"/>
        <v/>
      </c>
    </row>
    <row r="238" spans="21:26" x14ac:dyDescent="0.25">
      <c r="U238" s="449" t="str">
        <f t="shared" si="19"/>
        <v/>
      </c>
      <c r="V238" s="449" t="str">
        <f t="shared" si="20"/>
        <v/>
      </c>
      <c r="W238" s="449" t="str">
        <f t="shared" si="21"/>
        <v/>
      </c>
      <c r="X238" s="449" t="str">
        <f t="shared" si="24"/>
        <v/>
      </c>
      <c r="Y238" s="449" t="str">
        <f t="shared" si="25"/>
        <v/>
      </c>
      <c r="Z238" s="449" t="str">
        <f t="shared" si="26"/>
        <v/>
      </c>
    </row>
    <row r="239" spans="21:26" x14ac:dyDescent="0.25">
      <c r="U239" s="449" t="str">
        <f t="shared" si="19"/>
        <v/>
      </c>
      <c r="V239" s="449" t="str">
        <f t="shared" si="20"/>
        <v/>
      </c>
      <c r="W239" s="449" t="str">
        <f t="shared" si="21"/>
        <v/>
      </c>
      <c r="X239" s="449" t="str">
        <f t="shared" si="24"/>
        <v/>
      </c>
      <c r="Y239" s="449" t="str">
        <f t="shared" si="25"/>
        <v/>
      </c>
      <c r="Z239" s="449" t="str">
        <f t="shared" si="26"/>
        <v/>
      </c>
    </row>
    <row r="240" spans="21:26" x14ac:dyDescent="0.25">
      <c r="U240" s="449" t="str">
        <f t="shared" si="19"/>
        <v/>
      </c>
      <c r="V240" s="449" t="str">
        <f t="shared" si="20"/>
        <v/>
      </c>
      <c r="W240" s="449" t="str">
        <f t="shared" si="21"/>
        <v/>
      </c>
      <c r="X240" s="449" t="str">
        <f t="shared" si="24"/>
        <v/>
      </c>
      <c r="Y240" s="449" t="str">
        <f t="shared" si="25"/>
        <v/>
      </c>
      <c r="Z240" s="449" t="str">
        <f t="shared" si="26"/>
        <v/>
      </c>
    </row>
    <row r="241" spans="21:26" x14ac:dyDescent="0.25">
      <c r="U241" s="449" t="str">
        <f t="shared" si="19"/>
        <v/>
      </c>
      <c r="V241" s="449" t="str">
        <f t="shared" si="20"/>
        <v/>
      </c>
      <c r="W241" s="449" t="str">
        <f t="shared" si="21"/>
        <v/>
      </c>
      <c r="X241" s="449" t="str">
        <f t="shared" si="24"/>
        <v/>
      </c>
      <c r="Y241" s="449" t="str">
        <f t="shared" si="25"/>
        <v/>
      </c>
      <c r="Z241" s="449" t="str">
        <f t="shared" si="26"/>
        <v/>
      </c>
    </row>
    <row r="242" spans="21:26" x14ac:dyDescent="0.25">
      <c r="U242" s="449" t="str">
        <f t="shared" si="19"/>
        <v/>
      </c>
      <c r="V242" s="449" t="str">
        <f t="shared" si="20"/>
        <v/>
      </c>
      <c r="W242" s="449" t="str">
        <f t="shared" si="21"/>
        <v/>
      </c>
      <c r="X242" s="449" t="str">
        <f t="shared" si="24"/>
        <v/>
      </c>
      <c r="Y242" s="449" t="str">
        <f t="shared" si="25"/>
        <v/>
      </c>
      <c r="Z242" s="449" t="str">
        <f t="shared" si="26"/>
        <v/>
      </c>
    </row>
    <row r="243" spans="21:26" x14ac:dyDescent="0.25">
      <c r="U243" s="449" t="str">
        <f t="shared" si="19"/>
        <v/>
      </c>
      <c r="V243" s="449" t="str">
        <f t="shared" si="20"/>
        <v/>
      </c>
      <c r="W243" s="449" t="str">
        <f t="shared" si="21"/>
        <v/>
      </c>
      <c r="X243" s="449" t="str">
        <f t="shared" si="24"/>
        <v/>
      </c>
      <c r="Y243" s="449" t="str">
        <f t="shared" si="25"/>
        <v/>
      </c>
      <c r="Z243" s="449" t="str">
        <f t="shared" si="26"/>
        <v/>
      </c>
    </row>
    <row r="244" spans="21:26" x14ac:dyDescent="0.25">
      <c r="U244" s="449" t="str">
        <f t="shared" si="19"/>
        <v/>
      </c>
      <c r="V244" s="449" t="str">
        <f t="shared" si="20"/>
        <v/>
      </c>
      <c r="W244" s="449" t="str">
        <f t="shared" si="21"/>
        <v/>
      </c>
      <c r="X244" s="449" t="str">
        <f t="shared" si="24"/>
        <v/>
      </c>
      <c r="Y244" s="449" t="str">
        <f t="shared" si="25"/>
        <v/>
      </c>
      <c r="Z244" s="449" t="str">
        <f t="shared" si="26"/>
        <v/>
      </c>
    </row>
    <row r="245" spans="21:26" x14ac:dyDescent="0.25">
      <c r="U245" s="449" t="str">
        <f t="shared" si="19"/>
        <v/>
      </c>
      <c r="V245" s="449" t="str">
        <f t="shared" si="20"/>
        <v/>
      </c>
      <c r="W245" s="449" t="str">
        <f t="shared" si="21"/>
        <v/>
      </c>
      <c r="X245" s="449" t="str">
        <f t="shared" si="24"/>
        <v/>
      </c>
      <c r="Y245" s="449" t="str">
        <f t="shared" si="25"/>
        <v/>
      </c>
      <c r="Z245" s="449" t="str">
        <f t="shared" si="26"/>
        <v/>
      </c>
    </row>
    <row r="246" spans="21:26" x14ac:dyDescent="0.25">
      <c r="U246" s="449" t="str">
        <f t="shared" si="19"/>
        <v/>
      </c>
      <c r="V246" s="449" t="str">
        <f t="shared" si="20"/>
        <v/>
      </c>
      <c r="W246" s="449" t="str">
        <f t="shared" si="21"/>
        <v/>
      </c>
      <c r="X246" s="449" t="str">
        <f t="shared" si="24"/>
        <v/>
      </c>
      <c r="Y246" s="449" t="str">
        <f t="shared" si="25"/>
        <v/>
      </c>
      <c r="Z246" s="449" t="str">
        <f t="shared" si="26"/>
        <v/>
      </c>
    </row>
    <row r="247" spans="21:26" x14ac:dyDescent="0.25">
      <c r="U247" s="449" t="str">
        <f t="shared" si="19"/>
        <v/>
      </c>
      <c r="V247" s="449" t="str">
        <f t="shared" si="20"/>
        <v/>
      </c>
      <c r="W247" s="449" t="str">
        <f t="shared" si="21"/>
        <v/>
      </c>
      <c r="X247" s="449" t="str">
        <f t="shared" si="24"/>
        <v/>
      </c>
      <c r="Y247" s="449" t="str">
        <f t="shared" si="25"/>
        <v/>
      </c>
      <c r="Z247" s="449" t="str">
        <f t="shared" si="26"/>
        <v/>
      </c>
    </row>
    <row r="248" spans="21:26" x14ac:dyDescent="0.25">
      <c r="U248" s="449" t="str">
        <f t="shared" si="19"/>
        <v/>
      </c>
      <c r="V248" s="449" t="str">
        <f t="shared" si="20"/>
        <v/>
      </c>
      <c r="W248" s="449" t="str">
        <f t="shared" si="21"/>
        <v/>
      </c>
      <c r="X248" s="449" t="str">
        <f t="shared" si="24"/>
        <v/>
      </c>
      <c r="Y248" s="449" t="str">
        <f t="shared" si="25"/>
        <v/>
      </c>
      <c r="Z248" s="449" t="str">
        <f t="shared" si="26"/>
        <v/>
      </c>
    </row>
    <row r="249" spans="21:26" x14ac:dyDescent="0.25">
      <c r="U249" s="449" t="str">
        <f t="shared" si="19"/>
        <v/>
      </c>
      <c r="V249" s="449" t="str">
        <f t="shared" si="20"/>
        <v/>
      </c>
      <c r="W249" s="449" t="str">
        <f t="shared" si="21"/>
        <v/>
      </c>
      <c r="X249" s="449" t="str">
        <f t="shared" si="24"/>
        <v/>
      </c>
      <c r="Y249" s="449" t="str">
        <f t="shared" si="25"/>
        <v/>
      </c>
      <c r="Z249" s="449" t="str">
        <f t="shared" si="26"/>
        <v/>
      </c>
    </row>
    <row r="250" spans="21:26" x14ac:dyDescent="0.25">
      <c r="U250" s="449" t="str">
        <f t="shared" si="19"/>
        <v/>
      </c>
      <c r="V250" s="449" t="str">
        <f t="shared" si="20"/>
        <v/>
      </c>
      <c r="W250" s="449" t="str">
        <f t="shared" si="21"/>
        <v/>
      </c>
      <c r="X250" s="449" t="str">
        <f t="shared" si="24"/>
        <v/>
      </c>
      <c r="Y250" s="449" t="str">
        <f t="shared" si="25"/>
        <v/>
      </c>
      <c r="Z250" s="449" t="str">
        <f t="shared" si="26"/>
        <v/>
      </c>
    </row>
    <row r="251" spans="21:26" x14ac:dyDescent="0.25">
      <c r="U251" s="449" t="str">
        <f t="shared" si="19"/>
        <v/>
      </c>
      <c r="V251" s="449" t="str">
        <f t="shared" si="20"/>
        <v/>
      </c>
      <c r="W251" s="449" t="str">
        <f t="shared" si="21"/>
        <v/>
      </c>
      <c r="X251" s="449" t="str">
        <f t="shared" si="24"/>
        <v/>
      </c>
      <c r="Y251" s="449" t="str">
        <f t="shared" si="25"/>
        <v/>
      </c>
      <c r="Z251" s="449" t="str">
        <f t="shared" si="26"/>
        <v/>
      </c>
    </row>
    <row r="252" spans="21:26" x14ac:dyDescent="0.25">
      <c r="U252" s="449" t="str">
        <f t="shared" si="19"/>
        <v/>
      </c>
      <c r="V252" s="449" t="str">
        <f t="shared" si="20"/>
        <v/>
      </c>
      <c r="W252" s="449" t="str">
        <f t="shared" si="21"/>
        <v/>
      </c>
      <c r="X252" s="449" t="str">
        <f t="shared" si="24"/>
        <v/>
      </c>
      <c r="Y252" s="449" t="str">
        <f t="shared" si="25"/>
        <v/>
      </c>
      <c r="Z252" s="449" t="str">
        <f t="shared" si="26"/>
        <v/>
      </c>
    </row>
    <row r="253" spans="21:26" x14ac:dyDescent="0.25">
      <c r="U253" s="449" t="str">
        <f t="shared" si="19"/>
        <v/>
      </c>
      <c r="V253" s="449" t="str">
        <f t="shared" si="20"/>
        <v/>
      </c>
      <c r="W253" s="449" t="str">
        <f t="shared" si="21"/>
        <v/>
      </c>
      <c r="X253" s="449" t="str">
        <f t="shared" si="24"/>
        <v/>
      </c>
      <c r="Y253" s="449" t="str">
        <f t="shared" si="25"/>
        <v/>
      </c>
      <c r="Z253" s="449" t="str">
        <f t="shared" si="26"/>
        <v/>
      </c>
    </row>
    <row r="254" spans="21:26" x14ac:dyDescent="0.25">
      <c r="U254" s="449" t="str">
        <f t="shared" si="19"/>
        <v/>
      </c>
      <c r="V254" s="449" t="str">
        <f t="shared" si="20"/>
        <v/>
      </c>
      <c r="W254" s="449" t="str">
        <f t="shared" si="21"/>
        <v/>
      </c>
      <c r="X254" s="449" t="str">
        <f t="shared" si="24"/>
        <v/>
      </c>
      <c r="Y254" s="449" t="str">
        <f t="shared" si="25"/>
        <v/>
      </c>
      <c r="Z254" s="449" t="str">
        <f t="shared" si="26"/>
        <v/>
      </c>
    </row>
    <row r="255" spans="21:26" x14ac:dyDescent="0.25">
      <c r="U255" s="449" t="str">
        <f t="shared" si="19"/>
        <v/>
      </c>
      <c r="V255" s="449" t="str">
        <f t="shared" si="20"/>
        <v/>
      </c>
      <c r="W255" s="449" t="str">
        <f t="shared" si="21"/>
        <v/>
      </c>
      <c r="X255" s="449" t="str">
        <f t="shared" si="24"/>
        <v/>
      </c>
      <c r="Y255" s="449" t="str">
        <f t="shared" si="25"/>
        <v/>
      </c>
      <c r="Z255" s="449" t="str">
        <f t="shared" si="26"/>
        <v/>
      </c>
    </row>
    <row r="256" spans="21:26" x14ac:dyDescent="0.25">
      <c r="U256" s="449" t="str">
        <f t="shared" si="19"/>
        <v/>
      </c>
      <c r="V256" s="449" t="str">
        <f t="shared" si="20"/>
        <v/>
      </c>
      <c r="W256" s="449" t="str">
        <f t="shared" si="21"/>
        <v/>
      </c>
      <c r="X256" s="449" t="str">
        <f t="shared" si="24"/>
        <v/>
      </c>
      <c r="Y256" s="449" t="str">
        <f t="shared" si="25"/>
        <v/>
      </c>
      <c r="Z256" s="449" t="str">
        <f t="shared" si="26"/>
        <v/>
      </c>
    </row>
    <row r="257" spans="21:26" x14ac:dyDescent="0.25">
      <c r="U257" s="449" t="str">
        <f t="shared" si="19"/>
        <v/>
      </c>
      <c r="V257" s="449" t="str">
        <f t="shared" si="20"/>
        <v/>
      </c>
      <c r="W257" s="449" t="str">
        <f t="shared" si="21"/>
        <v/>
      </c>
      <c r="X257" s="449" t="str">
        <f t="shared" si="24"/>
        <v/>
      </c>
      <c r="Y257" s="449" t="str">
        <f t="shared" si="25"/>
        <v/>
      </c>
      <c r="Z257" s="449" t="str">
        <f t="shared" si="26"/>
        <v/>
      </c>
    </row>
    <row r="258" spans="21:26" x14ac:dyDescent="0.25">
      <c r="U258" s="449" t="str">
        <f t="shared" si="19"/>
        <v/>
      </c>
      <c r="V258" s="449" t="str">
        <f t="shared" si="20"/>
        <v/>
      </c>
      <c r="W258" s="449" t="str">
        <f t="shared" si="21"/>
        <v/>
      </c>
      <c r="X258" s="449" t="str">
        <f t="shared" si="24"/>
        <v/>
      </c>
      <c r="Y258" s="449" t="str">
        <f t="shared" si="25"/>
        <v/>
      </c>
      <c r="Z258" s="449" t="str">
        <f t="shared" si="26"/>
        <v/>
      </c>
    </row>
    <row r="259" spans="21:26" x14ac:dyDescent="0.25">
      <c r="U259" s="449" t="str">
        <f t="shared" si="19"/>
        <v/>
      </c>
      <c r="V259" s="449" t="str">
        <f t="shared" si="20"/>
        <v/>
      </c>
      <c r="W259" s="449" t="str">
        <f t="shared" si="21"/>
        <v/>
      </c>
      <c r="X259" s="449" t="str">
        <f t="shared" si="24"/>
        <v/>
      </c>
      <c r="Y259" s="449" t="str">
        <f t="shared" si="25"/>
        <v/>
      </c>
      <c r="Z259" s="449" t="str">
        <f t="shared" si="26"/>
        <v/>
      </c>
    </row>
    <row r="260" spans="21:26" x14ac:dyDescent="0.25">
      <c r="U260" s="449" t="str">
        <f t="shared" ref="U260:U323" si="27">IF(AB260="","",LEFT(W260,2)&amp;"00")</f>
        <v/>
      </c>
      <c r="V260" s="449" t="str">
        <f t="shared" ref="V260:V323" si="28">IF(W260="","",IF(AND(W260&gt;"1109",W260&lt;"1172"),"1",IF(OR(W260="3111",W260="3113",W260="3117",W260="3204",W260="3214",W260="3216",W260="3373",W260="3376",W260="3803"),"1",IF(LEFT(W260,1)="1",IF(OR(LEFT(W260,2)="10",LEFT(W260,2)="12",LEFT(W260,2)="16",LEFT(W260,2)="18",LEFT(W260,2)="19"),"19",LEFT(W260,2)),LEFT(W260,1)&amp;"000"))))</f>
        <v/>
      </c>
      <c r="W260" s="449" t="str">
        <f t="shared" ref="W260:W323" si="29">LEFT(AB260,4)</f>
        <v/>
      </c>
      <c r="X260" s="449" t="str">
        <f t="shared" si="24"/>
        <v/>
      </c>
      <c r="Y260" s="449" t="str">
        <f t="shared" si="25"/>
        <v/>
      </c>
      <c r="Z260" s="449" t="str">
        <f t="shared" si="26"/>
        <v/>
      </c>
    </row>
    <row r="261" spans="21:26" x14ac:dyDescent="0.25">
      <c r="U261" s="449" t="str">
        <f t="shared" si="27"/>
        <v/>
      </c>
      <c r="V261" s="449" t="str">
        <f t="shared" si="28"/>
        <v/>
      </c>
      <c r="W261" s="449" t="str">
        <f t="shared" si="29"/>
        <v/>
      </c>
      <c r="X261" s="449" t="str">
        <f t="shared" si="24"/>
        <v/>
      </c>
      <c r="Y261" s="449" t="str">
        <f t="shared" si="25"/>
        <v/>
      </c>
      <c r="Z261" s="449" t="str">
        <f t="shared" si="26"/>
        <v/>
      </c>
    </row>
    <row r="262" spans="21:26" x14ac:dyDescent="0.25">
      <c r="U262" s="449" t="str">
        <f t="shared" si="27"/>
        <v/>
      </c>
      <c r="V262" s="449" t="str">
        <f t="shared" si="28"/>
        <v/>
      </c>
      <c r="W262" s="449" t="str">
        <f t="shared" si="29"/>
        <v/>
      </c>
      <c r="X262" s="449" t="str">
        <f t="shared" si="24"/>
        <v/>
      </c>
      <c r="Y262" s="449" t="str">
        <f t="shared" si="25"/>
        <v/>
      </c>
      <c r="Z262" s="449" t="str">
        <f t="shared" si="26"/>
        <v/>
      </c>
    </row>
    <row r="263" spans="21:26" x14ac:dyDescent="0.25">
      <c r="U263" s="449" t="str">
        <f t="shared" si="27"/>
        <v/>
      </c>
      <c r="V263" s="449" t="str">
        <f t="shared" si="28"/>
        <v/>
      </c>
      <c r="W263" s="449" t="str">
        <f t="shared" si="29"/>
        <v/>
      </c>
      <c r="X263" s="449" t="str">
        <f t="shared" si="24"/>
        <v/>
      </c>
      <c r="Y263" s="449" t="str">
        <f t="shared" si="25"/>
        <v/>
      </c>
      <c r="Z263" s="449" t="str">
        <f t="shared" si="26"/>
        <v/>
      </c>
    </row>
    <row r="264" spans="21:26" x14ac:dyDescent="0.25">
      <c r="U264" s="449" t="str">
        <f t="shared" si="27"/>
        <v/>
      </c>
      <c r="V264" s="449" t="str">
        <f t="shared" si="28"/>
        <v/>
      </c>
      <c r="W264" s="449" t="str">
        <f t="shared" si="29"/>
        <v/>
      </c>
      <c r="X264" s="449" t="str">
        <f t="shared" si="24"/>
        <v/>
      </c>
      <c r="Y264" s="449" t="str">
        <f t="shared" si="25"/>
        <v/>
      </c>
      <c r="Z264" s="449" t="str">
        <f t="shared" si="26"/>
        <v/>
      </c>
    </row>
    <row r="265" spans="21:26" x14ac:dyDescent="0.25">
      <c r="U265" s="449" t="str">
        <f t="shared" si="27"/>
        <v/>
      </c>
      <c r="V265" s="449" t="str">
        <f t="shared" si="28"/>
        <v/>
      </c>
      <c r="W265" s="449" t="str">
        <f t="shared" si="29"/>
        <v/>
      </c>
      <c r="X265" s="449" t="str">
        <f t="shared" ref="X265:X328" si="30">IF(Z265="","",IF(OR(Z265="21",Z265="22",Z265="36",Z265="61",Z265="24"),Z265,LEFT(Z265,1)&amp;"0"))</f>
        <v/>
      </c>
      <c r="Y265" s="449" t="str">
        <f t="shared" ref="Y265:Y328" si="31">IF(AB265="","",IF(OR(LEFT(AB265,1)="1",LEFT(AB265,1)="2",LEFT(AB265,1)="3",LEFT(AB265,1)="4"),LEFT(AB265,1)&amp;"000","9000"))</f>
        <v/>
      </c>
      <c r="Z265" s="449" t="str">
        <f t="shared" ref="Z265:Z328" si="32">LEFT(AA265,2)</f>
        <v/>
      </c>
    </row>
    <row r="266" spans="21:26" x14ac:dyDescent="0.25">
      <c r="U266" s="449" t="str">
        <f t="shared" si="27"/>
        <v/>
      </c>
      <c r="V266" s="449" t="str">
        <f t="shared" si="28"/>
        <v/>
      </c>
      <c r="W266" s="449" t="str">
        <f t="shared" si="29"/>
        <v/>
      </c>
      <c r="X266" s="449" t="str">
        <f t="shared" si="30"/>
        <v/>
      </c>
      <c r="Y266" s="449" t="str">
        <f t="shared" si="31"/>
        <v/>
      </c>
      <c r="Z266" s="449" t="str">
        <f t="shared" si="32"/>
        <v/>
      </c>
    </row>
    <row r="267" spans="21:26" x14ac:dyDescent="0.25">
      <c r="U267" s="449" t="str">
        <f t="shared" si="27"/>
        <v/>
      </c>
      <c r="V267" s="449" t="str">
        <f t="shared" si="28"/>
        <v/>
      </c>
      <c r="W267" s="449" t="str">
        <f t="shared" si="29"/>
        <v/>
      </c>
      <c r="X267" s="449" t="str">
        <f t="shared" si="30"/>
        <v/>
      </c>
      <c r="Y267" s="449" t="str">
        <f t="shared" si="31"/>
        <v/>
      </c>
      <c r="Z267" s="449" t="str">
        <f t="shared" si="32"/>
        <v/>
      </c>
    </row>
    <row r="268" spans="21:26" x14ac:dyDescent="0.25">
      <c r="U268" s="449" t="str">
        <f t="shared" si="27"/>
        <v/>
      </c>
      <c r="V268" s="449" t="str">
        <f t="shared" si="28"/>
        <v/>
      </c>
      <c r="W268" s="449" t="str">
        <f t="shared" si="29"/>
        <v/>
      </c>
      <c r="X268" s="449" t="str">
        <f t="shared" si="30"/>
        <v/>
      </c>
      <c r="Y268" s="449" t="str">
        <f t="shared" si="31"/>
        <v/>
      </c>
      <c r="Z268" s="449" t="str">
        <f t="shared" si="32"/>
        <v/>
      </c>
    </row>
    <row r="269" spans="21:26" x14ac:dyDescent="0.25">
      <c r="U269" s="449" t="str">
        <f t="shared" si="27"/>
        <v/>
      </c>
      <c r="V269" s="449" t="str">
        <f t="shared" si="28"/>
        <v/>
      </c>
      <c r="W269" s="449" t="str">
        <f t="shared" si="29"/>
        <v/>
      </c>
      <c r="X269" s="449" t="str">
        <f t="shared" si="30"/>
        <v/>
      </c>
      <c r="Y269" s="449" t="str">
        <f t="shared" si="31"/>
        <v/>
      </c>
      <c r="Z269" s="449" t="str">
        <f t="shared" si="32"/>
        <v/>
      </c>
    </row>
    <row r="270" spans="21:26" x14ac:dyDescent="0.25">
      <c r="U270" s="449" t="str">
        <f t="shared" si="27"/>
        <v/>
      </c>
      <c r="V270" s="449" t="str">
        <f t="shared" si="28"/>
        <v/>
      </c>
      <c r="W270" s="449" t="str">
        <f t="shared" si="29"/>
        <v/>
      </c>
      <c r="X270" s="449" t="str">
        <f t="shared" si="30"/>
        <v/>
      </c>
      <c r="Y270" s="449" t="str">
        <f t="shared" si="31"/>
        <v/>
      </c>
      <c r="Z270" s="449" t="str">
        <f t="shared" si="32"/>
        <v/>
      </c>
    </row>
    <row r="271" spans="21:26" x14ac:dyDescent="0.25">
      <c r="U271" s="449" t="str">
        <f t="shared" si="27"/>
        <v/>
      </c>
      <c r="V271" s="449" t="str">
        <f t="shared" si="28"/>
        <v/>
      </c>
      <c r="W271" s="449" t="str">
        <f t="shared" si="29"/>
        <v/>
      </c>
      <c r="X271" s="449" t="str">
        <f t="shared" si="30"/>
        <v/>
      </c>
      <c r="Y271" s="449" t="str">
        <f t="shared" si="31"/>
        <v/>
      </c>
      <c r="Z271" s="449" t="str">
        <f t="shared" si="32"/>
        <v/>
      </c>
    </row>
    <row r="272" spans="21:26" x14ac:dyDescent="0.25">
      <c r="U272" s="449" t="str">
        <f t="shared" si="27"/>
        <v/>
      </c>
      <c r="V272" s="449" t="str">
        <f t="shared" si="28"/>
        <v/>
      </c>
      <c r="W272" s="449" t="str">
        <f t="shared" si="29"/>
        <v/>
      </c>
      <c r="X272" s="449" t="str">
        <f t="shared" si="30"/>
        <v/>
      </c>
      <c r="Y272" s="449" t="str">
        <f t="shared" si="31"/>
        <v/>
      </c>
      <c r="Z272" s="449" t="str">
        <f t="shared" si="32"/>
        <v/>
      </c>
    </row>
    <row r="273" spans="21:26" x14ac:dyDescent="0.25">
      <c r="U273" s="449" t="str">
        <f t="shared" si="27"/>
        <v/>
      </c>
      <c r="V273" s="449" t="str">
        <f t="shared" si="28"/>
        <v/>
      </c>
      <c r="W273" s="449" t="str">
        <f t="shared" si="29"/>
        <v/>
      </c>
      <c r="X273" s="449" t="str">
        <f t="shared" si="30"/>
        <v/>
      </c>
      <c r="Y273" s="449" t="str">
        <f t="shared" si="31"/>
        <v/>
      </c>
      <c r="Z273" s="449" t="str">
        <f t="shared" si="32"/>
        <v/>
      </c>
    </row>
    <row r="274" spans="21:26" x14ac:dyDescent="0.25">
      <c r="U274" s="449" t="str">
        <f t="shared" si="27"/>
        <v/>
      </c>
      <c r="V274" s="449" t="str">
        <f t="shared" si="28"/>
        <v/>
      </c>
      <c r="W274" s="449" t="str">
        <f t="shared" si="29"/>
        <v/>
      </c>
      <c r="X274" s="449" t="str">
        <f t="shared" si="30"/>
        <v/>
      </c>
      <c r="Y274" s="449" t="str">
        <f t="shared" si="31"/>
        <v/>
      </c>
      <c r="Z274" s="449" t="str">
        <f t="shared" si="32"/>
        <v/>
      </c>
    </row>
    <row r="275" spans="21:26" x14ac:dyDescent="0.25">
      <c r="U275" s="449" t="str">
        <f t="shared" si="27"/>
        <v/>
      </c>
      <c r="V275" s="449" t="str">
        <f t="shared" si="28"/>
        <v/>
      </c>
      <c r="W275" s="449" t="str">
        <f t="shared" si="29"/>
        <v/>
      </c>
      <c r="X275" s="449" t="str">
        <f t="shared" si="30"/>
        <v/>
      </c>
      <c r="Y275" s="449" t="str">
        <f t="shared" si="31"/>
        <v/>
      </c>
      <c r="Z275" s="449" t="str">
        <f t="shared" si="32"/>
        <v/>
      </c>
    </row>
    <row r="276" spans="21:26" x14ac:dyDescent="0.25">
      <c r="U276" s="449" t="str">
        <f t="shared" si="27"/>
        <v/>
      </c>
      <c r="V276" s="449" t="str">
        <f t="shared" si="28"/>
        <v/>
      </c>
      <c r="W276" s="449" t="str">
        <f t="shared" si="29"/>
        <v/>
      </c>
      <c r="X276" s="449" t="str">
        <f t="shared" si="30"/>
        <v/>
      </c>
      <c r="Y276" s="449" t="str">
        <f t="shared" si="31"/>
        <v/>
      </c>
      <c r="Z276" s="449" t="str">
        <f t="shared" si="32"/>
        <v/>
      </c>
    </row>
    <row r="277" spans="21:26" x14ac:dyDescent="0.25">
      <c r="U277" s="449" t="str">
        <f t="shared" si="27"/>
        <v/>
      </c>
      <c r="V277" s="449" t="str">
        <f t="shared" si="28"/>
        <v/>
      </c>
      <c r="W277" s="449" t="str">
        <f t="shared" si="29"/>
        <v/>
      </c>
      <c r="X277" s="449" t="str">
        <f t="shared" si="30"/>
        <v/>
      </c>
      <c r="Y277" s="449" t="str">
        <f t="shared" si="31"/>
        <v/>
      </c>
      <c r="Z277" s="449" t="str">
        <f t="shared" si="32"/>
        <v/>
      </c>
    </row>
    <row r="278" spans="21:26" x14ac:dyDescent="0.25">
      <c r="U278" s="449" t="str">
        <f t="shared" si="27"/>
        <v/>
      </c>
      <c r="V278" s="449" t="str">
        <f t="shared" si="28"/>
        <v/>
      </c>
      <c r="W278" s="449" t="str">
        <f t="shared" si="29"/>
        <v/>
      </c>
      <c r="X278" s="449" t="str">
        <f t="shared" si="30"/>
        <v/>
      </c>
      <c r="Y278" s="449" t="str">
        <f t="shared" si="31"/>
        <v/>
      </c>
      <c r="Z278" s="449" t="str">
        <f t="shared" si="32"/>
        <v/>
      </c>
    </row>
    <row r="279" spans="21:26" x14ac:dyDescent="0.25">
      <c r="U279" s="449" t="str">
        <f t="shared" si="27"/>
        <v/>
      </c>
      <c r="V279" s="449" t="str">
        <f t="shared" si="28"/>
        <v/>
      </c>
      <c r="W279" s="449" t="str">
        <f t="shared" si="29"/>
        <v/>
      </c>
      <c r="X279" s="449" t="str">
        <f t="shared" si="30"/>
        <v/>
      </c>
      <c r="Y279" s="449" t="str">
        <f t="shared" si="31"/>
        <v/>
      </c>
      <c r="Z279" s="449" t="str">
        <f t="shared" si="32"/>
        <v/>
      </c>
    </row>
    <row r="280" spans="21:26" x14ac:dyDescent="0.25">
      <c r="U280" s="449" t="str">
        <f t="shared" si="27"/>
        <v/>
      </c>
      <c r="V280" s="449" t="str">
        <f t="shared" si="28"/>
        <v/>
      </c>
      <c r="W280" s="449" t="str">
        <f t="shared" si="29"/>
        <v/>
      </c>
      <c r="X280" s="449" t="str">
        <f t="shared" si="30"/>
        <v/>
      </c>
      <c r="Y280" s="449" t="str">
        <f t="shared" si="31"/>
        <v/>
      </c>
      <c r="Z280" s="449" t="str">
        <f t="shared" si="32"/>
        <v/>
      </c>
    </row>
    <row r="281" spans="21:26" x14ac:dyDescent="0.25">
      <c r="U281" s="449" t="str">
        <f t="shared" si="27"/>
        <v/>
      </c>
      <c r="V281" s="449" t="str">
        <f t="shared" si="28"/>
        <v/>
      </c>
      <c r="W281" s="449" t="str">
        <f t="shared" si="29"/>
        <v/>
      </c>
      <c r="X281" s="449" t="str">
        <f t="shared" si="30"/>
        <v/>
      </c>
      <c r="Y281" s="449" t="str">
        <f t="shared" si="31"/>
        <v/>
      </c>
      <c r="Z281" s="449" t="str">
        <f t="shared" si="32"/>
        <v/>
      </c>
    </row>
    <row r="282" spans="21:26" x14ac:dyDescent="0.25">
      <c r="U282" s="449" t="str">
        <f t="shared" si="27"/>
        <v/>
      </c>
      <c r="V282" s="449" t="str">
        <f t="shared" si="28"/>
        <v/>
      </c>
      <c r="W282" s="449" t="str">
        <f t="shared" si="29"/>
        <v/>
      </c>
      <c r="X282" s="449" t="str">
        <f t="shared" si="30"/>
        <v/>
      </c>
      <c r="Y282" s="449" t="str">
        <f t="shared" si="31"/>
        <v/>
      </c>
      <c r="Z282" s="449" t="str">
        <f t="shared" si="32"/>
        <v/>
      </c>
    </row>
    <row r="283" spans="21:26" x14ac:dyDescent="0.25">
      <c r="U283" s="449" t="str">
        <f t="shared" si="27"/>
        <v/>
      </c>
      <c r="V283" s="449" t="str">
        <f t="shared" si="28"/>
        <v/>
      </c>
      <c r="W283" s="449" t="str">
        <f t="shared" si="29"/>
        <v/>
      </c>
      <c r="X283" s="449" t="str">
        <f t="shared" si="30"/>
        <v/>
      </c>
      <c r="Y283" s="449" t="str">
        <f t="shared" si="31"/>
        <v/>
      </c>
      <c r="Z283" s="449" t="str">
        <f t="shared" si="32"/>
        <v/>
      </c>
    </row>
    <row r="284" spans="21:26" x14ac:dyDescent="0.25">
      <c r="U284" s="449" t="str">
        <f t="shared" si="27"/>
        <v/>
      </c>
      <c r="V284" s="449" t="str">
        <f t="shared" si="28"/>
        <v/>
      </c>
      <c r="W284" s="449" t="str">
        <f t="shared" si="29"/>
        <v/>
      </c>
      <c r="X284" s="449" t="str">
        <f t="shared" si="30"/>
        <v/>
      </c>
      <c r="Y284" s="449" t="str">
        <f t="shared" si="31"/>
        <v/>
      </c>
      <c r="Z284" s="449" t="str">
        <f t="shared" si="32"/>
        <v/>
      </c>
    </row>
    <row r="285" spans="21:26" x14ac:dyDescent="0.25">
      <c r="U285" s="449" t="str">
        <f t="shared" si="27"/>
        <v/>
      </c>
      <c r="V285" s="449" t="str">
        <f t="shared" si="28"/>
        <v/>
      </c>
      <c r="W285" s="449" t="str">
        <f t="shared" si="29"/>
        <v/>
      </c>
      <c r="X285" s="449" t="str">
        <f t="shared" si="30"/>
        <v/>
      </c>
      <c r="Y285" s="449" t="str">
        <f t="shared" si="31"/>
        <v/>
      </c>
      <c r="Z285" s="449" t="str">
        <f t="shared" si="32"/>
        <v/>
      </c>
    </row>
    <row r="286" spans="21:26" x14ac:dyDescent="0.25">
      <c r="U286" s="449" t="str">
        <f t="shared" si="27"/>
        <v/>
      </c>
      <c r="V286" s="449" t="str">
        <f t="shared" si="28"/>
        <v/>
      </c>
      <c r="W286" s="449" t="str">
        <f t="shared" si="29"/>
        <v/>
      </c>
      <c r="X286" s="449" t="str">
        <f t="shared" si="30"/>
        <v/>
      </c>
      <c r="Y286" s="449" t="str">
        <f t="shared" si="31"/>
        <v/>
      </c>
      <c r="Z286" s="449" t="str">
        <f t="shared" si="32"/>
        <v/>
      </c>
    </row>
    <row r="287" spans="21:26" x14ac:dyDescent="0.25">
      <c r="U287" s="449" t="str">
        <f t="shared" si="27"/>
        <v/>
      </c>
      <c r="V287" s="449" t="str">
        <f t="shared" si="28"/>
        <v/>
      </c>
      <c r="W287" s="449" t="str">
        <f t="shared" si="29"/>
        <v/>
      </c>
      <c r="X287" s="449" t="str">
        <f t="shared" si="30"/>
        <v/>
      </c>
      <c r="Y287" s="449" t="str">
        <f t="shared" si="31"/>
        <v/>
      </c>
      <c r="Z287" s="449" t="str">
        <f t="shared" si="32"/>
        <v/>
      </c>
    </row>
    <row r="288" spans="21:26" x14ac:dyDescent="0.25">
      <c r="U288" s="449" t="str">
        <f t="shared" si="27"/>
        <v/>
      </c>
      <c r="V288" s="449" t="str">
        <f t="shared" si="28"/>
        <v/>
      </c>
      <c r="W288" s="449" t="str">
        <f t="shared" si="29"/>
        <v/>
      </c>
      <c r="X288" s="449" t="str">
        <f t="shared" si="30"/>
        <v/>
      </c>
      <c r="Y288" s="449" t="str">
        <f t="shared" si="31"/>
        <v/>
      </c>
      <c r="Z288" s="449" t="str">
        <f t="shared" si="32"/>
        <v/>
      </c>
    </row>
    <row r="289" spans="21:26" x14ac:dyDescent="0.25">
      <c r="U289" s="449" t="str">
        <f t="shared" si="27"/>
        <v/>
      </c>
      <c r="V289" s="449" t="str">
        <f t="shared" si="28"/>
        <v/>
      </c>
      <c r="W289" s="449" t="str">
        <f t="shared" si="29"/>
        <v/>
      </c>
      <c r="X289" s="449" t="str">
        <f t="shared" si="30"/>
        <v/>
      </c>
      <c r="Y289" s="449" t="str">
        <f t="shared" si="31"/>
        <v/>
      </c>
      <c r="Z289" s="449" t="str">
        <f t="shared" si="32"/>
        <v/>
      </c>
    </row>
    <row r="290" spans="21:26" x14ac:dyDescent="0.25">
      <c r="U290" s="449" t="str">
        <f t="shared" si="27"/>
        <v/>
      </c>
      <c r="V290" s="449" t="str">
        <f t="shared" si="28"/>
        <v/>
      </c>
      <c r="W290" s="449" t="str">
        <f t="shared" si="29"/>
        <v/>
      </c>
      <c r="X290" s="449" t="str">
        <f t="shared" si="30"/>
        <v/>
      </c>
      <c r="Y290" s="449" t="str">
        <f t="shared" si="31"/>
        <v/>
      </c>
      <c r="Z290" s="449" t="str">
        <f t="shared" si="32"/>
        <v/>
      </c>
    </row>
    <row r="291" spans="21:26" x14ac:dyDescent="0.25">
      <c r="U291" s="449" t="str">
        <f t="shared" si="27"/>
        <v/>
      </c>
      <c r="V291" s="449" t="str">
        <f t="shared" si="28"/>
        <v/>
      </c>
      <c r="W291" s="449" t="str">
        <f t="shared" si="29"/>
        <v/>
      </c>
      <c r="X291" s="449" t="str">
        <f t="shared" si="30"/>
        <v/>
      </c>
      <c r="Y291" s="449" t="str">
        <f t="shared" si="31"/>
        <v/>
      </c>
      <c r="Z291" s="449" t="str">
        <f t="shared" si="32"/>
        <v/>
      </c>
    </row>
    <row r="292" spans="21:26" x14ac:dyDescent="0.25">
      <c r="U292" s="449" t="str">
        <f t="shared" si="27"/>
        <v/>
      </c>
      <c r="V292" s="449" t="str">
        <f t="shared" si="28"/>
        <v/>
      </c>
      <c r="W292" s="449" t="str">
        <f t="shared" si="29"/>
        <v/>
      </c>
      <c r="X292" s="449" t="str">
        <f t="shared" si="30"/>
        <v/>
      </c>
      <c r="Y292" s="449" t="str">
        <f t="shared" si="31"/>
        <v/>
      </c>
      <c r="Z292" s="449" t="str">
        <f t="shared" si="32"/>
        <v/>
      </c>
    </row>
    <row r="293" spans="21:26" x14ac:dyDescent="0.25">
      <c r="U293" s="449" t="str">
        <f t="shared" si="27"/>
        <v/>
      </c>
      <c r="V293" s="449" t="str">
        <f t="shared" si="28"/>
        <v/>
      </c>
      <c r="W293" s="449" t="str">
        <f t="shared" si="29"/>
        <v/>
      </c>
      <c r="X293" s="449" t="str">
        <f t="shared" si="30"/>
        <v/>
      </c>
      <c r="Y293" s="449" t="str">
        <f t="shared" si="31"/>
        <v/>
      </c>
      <c r="Z293" s="449" t="str">
        <f t="shared" si="32"/>
        <v/>
      </c>
    </row>
    <row r="294" spans="21:26" x14ac:dyDescent="0.25">
      <c r="U294" s="449" t="str">
        <f t="shared" si="27"/>
        <v/>
      </c>
      <c r="V294" s="449" t="str">
        <f t="shared" si="28"/>
        <v/>
      </c>
      <c r="W294" s="449" t="str">
        <f t="shared" si="29"/>
        <v/>
      </c>
      <c r="X294" s="449" t="str">
        <f t="shared" si="30"/>
        <v/>
      </c>
      <c r="Y294" s="449" t="str">
        <f t="shared" si="31"/>
        <v/>
      </c>
      <c r="Z294" s="449" t="str">
        <f t="shared" si="32"/>
        <v/>
      </c>
    </row>
    <row r="295" spans="21:26" x14ac:dyDescent="0.25">
      <c r="U295" s="449" t="str">
        <f t="shared" si="27"/>
        <v/>
      </c>
      <c r="V295" s="449" t="str">
        <f t="shared" si="28"/>
        <v/>
      </c>
      <c r="W295" s="449" t="str">
        <f t="shared" si="29"/>
        <v/>
      </c>
      <c r="X295" s="449" t="str">
        <f t="shared" si="30"/>
        <v/>
      </c>
      <c r="Y295" s="449" t="str">
        <f t="shared" si="31"/>
        <v/>
      </c>
      <c r="Z295" s="449" t="str">
        <f t="shared" si="32"/>
        <v/>
      </c>
    </row>
    <row r="296" spans="21:26" x14ac:dyDescent="0.25">
      <c r="U296" s="449" t="str">
        <f t="shared" si="27"/>
        <v/>
      </c>
      <c r="V296" s="449" t="str">
        <f t="shared" si="28"/>
        <v/>
      </c>
      <c r="W296" s="449" t="str">
        <f t="shared" si="29"/>
        <v/>
      </c>
      <c r="X296" s="449" t="str">
        <f t="shared" si="30"/>
        <v/>
      </c>
      <c r="Y296" s="449" t="str">
        <f t="shared" si="31"/>
        <v/>
      </c>
      <c r="Z296" s="449" t="str">
        <f t="shared" si="32"/>
        <v/>
      </c>
    </row>
    <row r="297" spans="21:26" x14ac:dyDescent="0.25">
      <c r="U297" s="449" t="str">
        <f t="shared" si="27"/>
        <v/>
      </c>
      <c r="V297" s="449" t="str">
        <f t="shared" si="28"/>
        <v/>
      </c>
      <c r="W297" s="449" t="str">
        <f t="shared" si="29"/>
        <v/>
      </c>
      <c r="X297" s="449" t="str">
        <f t="shared" si="30"/>
        <v/>
      </c>
      <c r="Y297" s="449" t="str">
        <f t="shared" si="31"/>
        <v/>
      </c>
      <c r="Z297" s="449" t="str">
        <f t="shared" si="32"/>
        <v/>
      </c>
    </row>
    <row r="298" spans="21:26" x14ac:dyDescent="0.25">
      <c r="U298" s="449" t="str">
        <f t="shared" si="27"/>
        <v/>
      </c>
      <c r="V298" s="449" t="str">
        <f t="shared" si="28"/>
        <v/>
      </c>
      <c r="W298" s="449" t="str">
        <f t="shared" si="29"/>
        <v/>
      </c>
      <c r="X298" s="449" t="str">
        <f t="shared" si="30"/>
        <v/>
      </c>
      <c r="Y298" s="449" t="str">
        <f t="shared" si="31"/>
        <v/>
      </c>
      <c r="Z298" s="449" t="str">
        <f t="shared" si="32"/>
        <v/>
      </c>
    </row>
    <row r="299" spans="21:26" x14ac:dyDescent="0.25">
      <c r="U299" s="449" t="str">
        <f t="shared" si="27"/>
        <v/>
      </c>
      <c r="V299" s="449" t="str">
        <f t="shared" si="28"/>
        <v/>
      </c>
      <c r="W299" s="449" t="str">
        <f t="shared" si="29"/>
        <v/>
      </c>
      <c r="X299" s="449" t="str">
        <f t="shared" si="30"/>
        <v/>
      </c>
      <c r="Y299" s="449" t="str">
        <f t="shared" si="31"/>
        <v/>
      </c>
      <c r="Z299" s="449" t="str">
        <f t="shared" si="32"/>
        <v/>
      </c>
    </row>
    <row r="300" spans="21:26" x14ac:dyDescent="0.25">
      <c r="U300" s="449" t="str">
        <f t="shared" si="27"/>
        <v/>
      </c>
      <c r="V300" s="449" t="str">
        <f t="shared" si="28"/>
        <v/>
      </c>
      <c r="W300" s="449" t="str">
        <f t="shared" si="29"/>
        <v/>
      </c>
      <c r="X300" s="449" t="str">
        <f t="shared" si="30"/>
        <v/>
      </c>
      <c r="Y300" s="449" t="str">
        <f t="shared" si="31"/>
        <v/>
      </c>
      <c r="Z300" s="449" t="str">
        <f t="shared" si="32"/>
        <v/>
      </c>
    </row>
    <row r="301" spans="21:26" x14ac:dyDescent="0.25">
      <c r="U301" s="449" t="str">
        <f t="shared" si="27"/>
        <v/>
      </c>
      <c r="V301" s="449" t="str">
        <f t="shared" si="28"/>
        <v/>
      </c>
      <c r="W301" s="449" t="str">
        <f t="shared" si="29"/>
        <v/>
      </c>
      <c r="X301" s="449" t="str">
        <f t="shared" si="30"/>
        <v/>
      </c>
      <c r="Y301" s="449" t="str">
        <f t="shared" si="31"/>
        <v/>
      </c>
      <c r="Z301" s="449" t="str">
        <f t="shared" si="32"/>
        <v/>
      </c>
    </row>
    <row r="302" spans="21:26" x14ac:dyDescent="0.25">
      <c r="U302" s="449" t="str">
        <f t="shared" si="27"/>
        <v/>
      </c>
      <c r="V302" s="449" t="str">
        <f t="shared" si="28"/>
        <v/>
      </c>
      <c r="W302" s="449" t="str">
        <f t="shared" si="29"/>
        <v/>
      </c>
      <c r="X302" s="449" t="str">
        <f t="shared" si="30"/>
        <v/>
      </c>
      <c r="Y302" s="449" t="str">
        <f t="shared" si="31"/>
        <v/>
      </c>
      <c r="Z302" s="449" t="str">
        <f t="shared" si="32"/>
        <v/>
      </c>
    </row>
    <row r="303" spans="21:26" x14ac:dyDescent="0.25">
      <c r="U303" s="449" t="str">
        <f t="shared" si="27"/>
        <v/>
      </c>
      <c r="V303" s="449" t="str">
        <f t="shared" si="28"/>
        <v/>
      </c>
      <c r="W303" s="449" t="str">
        <f t="shared" si="29"/>
        <v/>
      </c>
      <c r="X303" s="449" t="str">
        <f t="shared" si="30"/>
        <v/>
      </c>
      <c r="Y303" s="449" t="str">
        <f t="shared" si="31"/>
        <v/>
      </c>
      <c r="Z303" s="449" t="str">
        <f t="shared" si="32"/>
        <v/>
      </c>
    </row>
    <row r="304" spans="21:26" x14ac:dyDescent="0.25">
      <c r="U304" s="449" t="str">
        <f t="shared" si="27"/>
        <v/>
      </c>
      <c r="V304" s="449" t="str">
        <f t="shared" si="28"/>
        <v/>
      </c>
      <c r="W304" s="449" t="str">
        <f t="shared" si="29"/>
        <v/>
      </c>
      <c r="X304" s="449" t="str">
        <f t="shared" si="30"/>
        <v/>
      </c>
      <c r="Y304" s="449" t="str">
        <f t="shared" si="31"/>
        <v/>
      </c>
      <c r="Z304" s="449" t="str">
        <f t="shared" si="32"/>
        <v/>
      </c>
    </row>
    <row r="305" spans="21:26" x14ac:dyDescent="0.25">
      <c r="U305" s="449" t="str">
        <f t="shared" si="27"/>
        <v/>
      </c>
      <c r="V305" s="449" t="str">
        <f t="shared" si="28"/>
        <v/>
      </c>
      <c r="W305" s="449" t="str">
        <f t="shared" si="29"/>
        <v/>
      </c>
      <c r="X305" s="449" t="str">
        <f t="shared" si="30"/>
        <v/>
      </c>
      <c r="Y305" s="449" t="str">
        <f t="shared" si="31"/>
        <v/>
      </c>
      <c r="Z305" s="449" t="str">
        <f t="shared" si="32"/>
        <v/>
      </c>
    </row>
    <row r="306" spans="21:26" x14ac:dyDescent="0.25">
      <c r="U306" s="449" t="str">
        <f t="shared" si="27"/>
        <v/>
      </c>
      <c r="V306" s="449" t="str">
        <f t="shared" si="28"/>
        <v/>
      </c>
      <c r="W306" s="449" t="str">
        <f t="shared" si="29"/>
        <v/>
      </c>
      <c r="X306" s="449" t="str">
        <f t="shared" si="30"/>
        <v/>
      </c>
      <c r="Y306" s="449" t="str">
        <f t="shared" si="31"/>
        <v/>
      </c>
      <c r="Z306" s="449" t="str">
        <f t="shared" si="32"/>
        <v/>
      </c>
    </row>
    <row r="307" spans="21:26" x14ac:dyDescent="0.25">
      <c r="U307" s="449" t="str">
        <f t="shared" si="27"/>
        <v/>
      </c>
      <c r="V307" s="449" t="str">
        <f t="shared" si="28"/>
        <v/>
      </c>
      <c r="W307" s="449" t="str">
        <f t="shared" si="29"/>
        <v/>
      </c>
      <c r="X307" s="449" t="str">
        <f t="shared" si="30"/>
        <v/>
      </c>
      <c r="Y307" s="449" t="str">
        <f t="shared" si="31"/>
        <v/>
      </c>
      <c r="Z307" s="449" t="str">
        <f t="shared" si="32"/>
        <v/>
      </c>
    </row>
    <row r="308" spans="21:26" x14ac:dyDescent="0.25">
      <c r="U308" s="449" t="str">
        <f t="shared" si="27"/>
        <v/>
      </c>
      <c r="V308" s="449" t="str">
        <f t="shared" si="28"/>
        <v/>
      </c>
      <c r="W308" s="449" t="str">
        <f t="shared" si="29"/>
        <v/>
      </c>
      <c r="X308" s="449" t="str">
        <f t="shared" si="30"/>
        <v/>
      </c>
      <c r="Y308" s="449" t="str">
        <f t="shared" si="31"/>
        <v/>
      </c>
      <c r="Z308" s="449" t="str">
        <f t="shared" si="32"/>
        <v/>
      </c>
    </row>
    <row r="309" spans="21:26" x14ac:dyDescent="0.25">
      <c r="U309" s="449" t="str">
        <f t="shared" si="27"/>
        <v/>
      </c>
      <c r="V309" s="449" t="str">
        <f t="shared" si="28"/>
        <v/>
      </c>
      <c r="W309" s="449" t="str">
        <f t="shared" si="29"/>
        <v/>
      </c>
      <c r="X309" s="449" t="str">
        <f t="shared" si="30"/>
        <v/>
      </c>
      <c r="Y309" s="449" t="str">
        <f t="shared" si="31"/>
        <v/>
      </c>
      <c r="Z309" s="449" t="str">
        <f t="shared" si="32"/>
        <v/>
      </c>
    </row>
    <row r="310" spans="21:26" x14ac:dyDescent="0.25">
      <c r="U310" s="449" t="str">
        <f t="shared" si="27"/>
        <v/>
      </c>
      <c r="V310" s="449" t="str">
        <f t="shared" si="28"/>
        <v/>
      </c>
      <c r="W310" s="449" t="str">
        <f t="shared" si="29"/>
        <v/>
      </c>
      <c r="X310" s="449" t="str">
        <f t="shared" si="30"/>
        <v/>
      </c>
      <c r="Y310" s="449" t="str">
        <f t="shared" si="31"/>
        <v/>
      </c>
      <c r="Z310" s="449" t="str">
        <f t="shared" si="32"/>
        <v/>
      </c>
    </row>
    <row r="311" spans="21:26" x14ac:dyDescent="0.25">
      <c r="U311" s="449" t="str">
        <f t="shared" si="27"/>
        <v/>
      </c>
      <c r="V311" s="449" t="str">
        <f t="shared" si="28"/>
        <v/>
      </c>
      <c r="W311" s="449" t="str">
        <f t="shared" si="29"/>
        <v/>
      </c>
      <c r="X311" s="449" t="str">
        <f t="shared" si="30"/>
        <v/>
      </c>
      <c r="Y311" s="449" t="str">
        <f t="shared" si="31"/>
        <v/>
      </c>
      <c r="Z311" s="449" t="str">
        <f t="shared" si="32"/>
        <v/>
      </c>
    </row>
    <row r="312" spans="21:26" x14ac:dyDescent="0.25">
      <c r="U312" s="449" t="str">
        <f t="shared" si="27"/>
        <v/>
      </c>
      <c r="V312" s="449" t="str">
        <f t="shared" si="28"/>
        <v/>
      </c>
      <c r="W312" s="449" t="str">
        <f t="shared" si="29"/>
        <v/>
      </c>
      <c r="X312" s="449" t="str">
        <f t="shared" si="30"/>
        <v/>
      </c>
      <c r="Y312" s="449" t="str">
        <f t="shared" si="31"/>
        <v/>
      </c>
      <c r="Z312" s="449" t="str">
        <f t="shared" si="32"/>
        <v/>
      </c>
    </row>
    <row r="313" spans="21:26" x14ac:dyDescent="0.25">
      <c r="U313" s="449" t="str">
        <f t="shared" si="27"/>
        <v/>
      </c>
      <c r="V313" s="449" t="str">
        <f t="shared" si="28"/>
        <v/>
      </c>
      <c r="W313" s="449" t="str">
        <f t="shared" si="29"/>
        <v/>
      </c>
      <c r="X313" s="449" t="str">
        <f t="shared" si="30"/>
        <v/>
      </c>
      <c r="Y313" s="449" t="str">
        <f t="shared" si="31"/>
        <v/>
      </c>
      <c r="Z313" s="449" t="str">
        <f t="shared" si="32"/>
        <v/>
      </c>
    </row>
    <row r="314" spans="21:26" x14ac:dyDescent="0.25">
      <c r="U314" s="449" t="str">
        <f t="shared" si="27"/>
        <v/>
      </c>
      <c r="V314" s="449" t="str">
        <f t="shared" si="28"/>
        <v/>
      </c>
      <c r="W314" s="449" t="str">
        <f t="shared" si="29"/>
        <v/>
      </c>
      <c r="X314" s="449" t="str">
        <f t="shared" si="30"/>
        <v/>
      </c>
      <c r="Y314" s="449" t="str">
        <f t="shared" si="31"/>
        <v/>
      </c>
      <c r="Z314" s="449" t="str">
        <f t="shared" si="32"/>
        <v/>
      </c>
    </row>
    <row r="315" spans="21:26" x14ac:dyDescent="0.25">
      <c r="U315" s="449" t="str">
        <f t="shared" si="27"/>
        <v/>
      </c>
      <c r="V315" s="449" t="str">
        <f t="shared" si="28"/>
        <v/>
      </c>
      <c r="W315" s="449" t="str">
        <f t="shared" si="29"/>
        <v/>
      </c>
      <c r="X315" s="449" t="str">
        <f t="shared" si="30"/>
        <v/>
      </c>
      <c r="Y315" s="449" t="str">
        <f t="shared" si="31"/>
        <v/>
      </c>
      <c r="Z315" s="449" t="str">
        <f t="shared" si="32"/>
        <v/>
      </c>
    </row>
    <row r="316" spans="21:26" x14ac:dyDescent="0.25">
      <c r="U316" s="449" t="str">
        <f t="shared" si="27"/>
        <v/>
      </c>
      <c r="V316" s="449" t="str">
        <f t="shared" si="28"/>
        <v/>
      </c>
      <c r="W316" s="449" t="str">
        <f t="shared" si="29"/>
        <v/>
      </c>
      <c r="X316" s="449" t="str">
        <f t="shared" si="30"/>
        <v/>
      </c>
      <c r="Y316" s="449" t="str">
        <f t="shared" si="31"/>
        <v/>
      </c>
      <c r="Z316" s="449" t="str">
        <f t="shared" si="32"/>
        <v/>
      </c>
    </row>
    <row r="317" spans="21:26" x14ac:dyDescent="0.25">
      <c r="U317" s="449" t="str">
        <f t="shared" si="27"/>
        <v/>
      </c>
      <c r="V317" s="449" t="str">
        <f t="shared" si="28"/>
        <v/>
      </c>
      <c r="W317" s="449" t="str">
        <f t="shared" si="29"/>
        <v/>
      </c>
      <c r="X317" s="449" t="str">
        <f t="shared" si="30"/>
        <v/>
      </c>
      <c r="Y317" s="449" t="str">
        <f t="shared" si="31"/>
        <v/>
      </c>
      <c r="Z317" s="449" t="str">
        <f t="shared" si="32"/>
        <v/>
      </c>
    </row>
    <row r="318" spans="21:26" x14ac:dyDescent="0.25">
      <c r="U318" s="449" t="str">
        <f t="shared" si="27"/>
        <v/>
      </c>
      <c r="V318" s="449" t="str">
        <f t="shared" si="28"/>
        <v/>
      </c>
      <c r="W318" s="449" t="str">
        <f t="shared" si="29"/>
        <v/>
      </c>
      <c r="X318" s="449" t="str">
        <f t="shared" si="30"/>
        <v/>
      </c>
      <c r="Y318" s="449" t="str">
        <f t="shared" si="31"/>
        <v/>
      </c>
      <c r="Z318" s="449" t="str">
        <f t="shared" si="32"/>
        <v/>
      </c>
    </row>
    <row r="319" spans="21:26" x14ac:dyDescent="0.25">
      <c r="U319" s="449" t="str">
        <f t="shared" si="27"/>
        <v/>
      </c>
      <c r="V319" s="449" t="str">
        <f t="shared" si="28"/>
        <v/>
      </c>
      <c r="W319" s="449" t="str">
        <f t="shared" si="29"/>
        <v/>
      </c>
      <c r="X319" s="449" t="str">
        <f t="shared" si="30"/>
        <v/>
      </c>
      <c r="Y319" s="449" t="str">
        <f t="shared" si="31"/>
        <v/>
      </c>
      <c r="Z319" s="449" t="str">
        <f t="shared" si="32"/>
        <v/>
      </c>
    </row>
    <row r="320" spans="21:26" x14ac:dyDescent="0.25">
      <c r="U320" s="449" t="str">
        <f t="shared" si="27"/>
        <v/>
      </c>
      <c r="V320" s="449" t="str">
        <f t="shared" si="28"/>
        <v/>
      </c>
      <c r="W320" s="449" t="str">
        <f t="shared" si="29"/>
        <v/>
      </c>
      <c r="X320" s="449" t="str">
        <f t="shared" si="30"/>
        <v/>
      </c>
      <c r="Y320" s="449" t="str">
        <f t="shared" si="31"/>
        <v/>
      </c>
      <c r="Z320" s="449" t="str">
        <f t="shared" si="32"/>
        <v/>
      </c>
    </row>
    <row r="321" spans="21:26" x14ac:dyDescent="0.25">
      <c r="U321" s="449" t="str">
        <f t="shared" si="27"/>
        <v/>
      </c>
      <c r="V321" s="449" t="str">
        <f t="shared" si="28"/>
        <v/>
      </c>
      <c r="W321" s="449" t="str">
        <f t="shared" si="29"/>
        <v/>
      </c>
      <c r="X321" s="449" t="str">
        <f t="shared" si="30"/>
        <v/>
      </c>
      <c r="Y321" s="449" t="str">
        <f t="shared" si="31"/>
        <v/>
      </c>
      <c r="Z321" s="449" t="str">
        <f t="shared" si="32"/>
        <v/>
      </c>
    </row>
    <row r="322" spans="21:26" x14ac:dyDescent="0.25">
      <c r="U322" s="449" t="str">
        <f t="shared" si="27"/>
        <v/>
      </c>
      <c r="V322" s="449" t="str">
        <f t="shared" si="28"/>
        <v/>
      </c>
      <c r="W322" s="449" t="str">
        <f t="shared" si="29"/>
        <v/>
      </c>
      <c r="X322" s="449" t="str">
        <f t="shared" si="30"/>
        <v/>
      </c>
      <c r="Y322" s="449" t="str">
        <f t="shared" si="31"/>
        <v/>
      </c>
      <c r="Z322" s="449" t="str">
        <f t="shared" si="32"/>
        <v/>
      </c>
    </row>
    <row r="323" spans="21:26" x14ac:dyDescent="0.25">
      <c r="U323" s="449" t="str">
        <f t="shared" si="27"/>
        <v/>
      </c>
      <c r="V323" s="449" t="str">
        <f t="shared" si="28"/>
        <v/>
      </c>
      <c r="W323" s="449" t="str">
        <f t="shared" si="29"/>
        <v/>
      </c>
      <c r="X323" s="449" t="str">
        <f t="shared" si="30"/>
        <v/>
      </c>
      <c r="Y323" s="449" t="str">
        <f t="shared" si="31"/>
        <v/>
      </c>
      <c r="Z323" s="449" t="str">
        <f t="shared" si="32"/>
        <v/>
      </c>
    </row>
    <row r="324" spans="21:26" x14ac:dyDescent="0.25">
      <c r="U324" s="449" t="str">
        <f t="shared" ref="U324:U387" si="33">IF(AB324="","",LEFT(W324,2)&amp;"00")</f>
        <v/>
      </c>
      <c r="V324" s="449" t="str">
        <f t="shared" ref="V324:V387" si="34">IF(W324="","",IF(AND(W324&gt;"1109",W324&lt;"1172"),"1",IF(OR(W324="3111",W324="3113",W324="3117",W324="3204",W324="3214",W324="3216",W324="3373",W324="3376",W324="3803"),"1",IF(LEFT(W324,1)="1",IF(OR(LEFT(W324,2)="10",LEFT(W324,2)="12",LEFT(W324,2)="16",LEFT(W324,2)="18",LEFT(W324,2)="19"),"19",LEFT(W324,2)),LEFT(W324,1)&amp;"000"))))</f>
        <v/>
      </c>
      <c r="W324" s="449" t="str">
        <f t="shared" ref="W324:W387" si="35">LEFT(AB324,4)</f>
        <v/>
      </c>
      <c r="X324" s="449" t="str">
        <f t="shared" si="30"/>
        <v/>
      </c>
      <c r="Y324" s="449" t="str">
        <f t="shared" si="31"/>
        <v/>
      </c>
      <c r="Z324" s="449" t="str">
        <f t="shared" si="32"/>
        <v/>
      </c>
    </row>
    <row r="325" spans="21:26" x14ac:dyDescent="0.25">
      <c r="U325" s="449" t="str">
        <f t="shared" si="33"/>
        <v/>
      </c>
      <c r="V325" s="449" t="str">
        <f t="shared" si="34"/>
        <v/>
      </c>
      <c r="W325" s="449" t="str">
        <f t="shared" si="35"/>
        <v/>
      </c>
      <c r="X325" s="449" t="str">
        <f t="shared" si="30"/>
        <v/>
      </c>
      <c r="Y325" s="449" t="str">
        <f t="shared" si="31"/>
        <v/>
      </c>
      <c r="Z325" s="449" t="str">
        <f t="shared" si="32"/>
        <v/>
      </c>
    </row>
    <row r="326" spans="21:26" x14ac:dyDescent="0.25">
      <c r="U326" s="449" t="str">
        <f t="shared" si="33"/>
        <v/>
      </c>
      <c r="V326" s="449" t="str">
        <f t="shared" si="34"/>
        <v/>
      </c>
      <c r="W326" s="449" t="str">
        <f t="shared" si="35"/>
        <v/>
      </c>
      <c r="X326" s="449" t="str">
        <f t="shared" si="30"/>
        <v/>
      </c>
      <c r="Y326" s="449" t="str">
        <f t="shared" si="31"/>
        <v/>
      </c>
      <c r="Z326" s="449" t="str">
        <f t="shared" si="32"/>
        <v/>
      </c>
    </row>
    <row r="327" spans="21:26" x14ac:dyDescent="0.25">
      <c r="U327" s="449" t="str">
        <f t="shared" si="33"/>
        <v/>
      </c>
      <c r="V327" s="449" t="str">
        <f t="shared" si="34"/>
        <v/>
      </c>
      <c r="W327" s="449" t="str">
        <f t="shared" si="35"/>
        <v/>
      </c>
      <c r="X327" s="449" t="str">
        <f t="shared" si="30"/>
        <v/>
      </c>
      <c r="Y327" s="449" t="str">
        <f t="shared" si="31"/>
        <v/>
      </c>
      <c r="Z327" s="449" t="str">
        <f t="shared" si="32"/>
        <v/>
      </c>
    </row>
    <row r="328" spans="21:26" x14ac:dyDescent="0.25">
      <c r="U328" s="449" t="str">
        <f t="shared" si="33"/>
        <v/>
      </c>
      <c r="V328" s="449" t="str">
        <f t="shared" si="34"/>
        <v/>
      </c>
      <c r="W328" s="449" t="str">
        <f t="shared" si="35"/>
        <v/>
      </c>
      <c r="X328" s="449" t="str">
        <f t="shared" si="30"/>
        <v/>
      </c>
      <c r="Y328" s="449" t="str">
        <f t="shared" si="31"/>
        <v/>
      </c>
      <c r="Z328" s="449" t="str">
        <f t="shared" si="32"/>
        <v/>
      </c>
    </row>
    <row r="329" spans="21:26" x14ac:dyDescent="0.25">
      <c r="U329" s="449" t="str">
        <f t="shared" si="33"/>
        <v/>
      </c>
      <c r="V329" s="449" t="str">
        <f t="shared" si="34"/>
        <v/>
      </c>
      <c r="W329" s="449" t="str">
        <f t="shared" si="35"/>
        <v/>
      </c>
      <c r="X329" s="449" t="str">
        <f t="shared" ref="X329:X392" si="36">IF(Z329="","",IF(OR(Z329="21",Z329="22",Z329="36",Z329="61",Z329="24"),Z329,LEFT(Z329,1)&amp;"0"))</f>
        <v/>
      </c>
      <c r="Y329" s="449" t="str">
        <f t="shared" ref="Y329:Y392" si="37">IF(AB329="","",IF(OR(LEFT(AB329,1)="1",LEFT(AB329,1)="2",LEFT(AB329,1)="3",LEFT(AB329,1)="4"),LEFT(AB329,1)&amp;"000","9000"))</f>
        <v/>
      </c>
      <c r="Z329" s="449" t="str">
        <f t="shared" ref="Z329:Z392" si="38">LEFT(AA329,2)</f>
        <v/>
      </c>
    </row>
    <row r="330" spans="21:26" x14ac:dyDescent="0.25">
      <c r="U330" s="449" t="str">
        <f t="shared" si="33"/>
        <v/>
      </c>
      <c r="V330" s="449" t="str">
        <f t="shared" si="34"/>
        <v/>
      </c>
      <c r="W330" s="449" t="str">
        <f t="shared" si="35"/>
        <v/>
      </c>
      <c r="X330" s="449" t="str">
        <f t="shared" si="36"/>
        <v/>
      </c>
      <c r="Y330" s="449" t="str">
        <f t="shared" si="37"/>
        <v/>
      </c>
      <c r="Z330" s="449" t="str">
        <f t="shared" si="38"/>
        <v/>
      </c>
    </row>
    <row r="331" spans="21:26" x14ac:dyDescent="0.25">
      <c r="U331" s="449" t="str">
        <f t="shared" si="33"/>
        <v/>
      </c>
      <c r="V331" s="449" t="str">
        <f t="shared" si="34"/>
        <v/>
      </c>
      <c r="W331" s="449" t="str">
        <f t="shared" si="35"/>
        <v/>
      </c>
      <c r="X331" s="449" t="str">
        <f t="shared" si="36"/>
        <v/>
      </c>
      <c r="Y331" s="449" t="str">
        <f t="shared" si="37"/>
        <v/>
      </c>
      <c r="Z331" s="449" t="str">
        <f t="shared" si="38"/>
        <v/>
      </c>
    </row>
    <row r="332" spans="21:26" x14ac:dyDescent="0.25">
      <c r="U332" s="449" t="str">
        <f t="shared" si="33"/>
        <v/>
      </c>
      <c r="V332" s="449" t="str">
        <f t="shared" si="34"/>
        <v/>
      </c>
      <c r="W332" s="449" t="str">
        <f t="shared" si="35"/>
        <v/>
      </c>
      <c r="X332" s="449" t="str">
        <f t="shared" si="36"/>
        <v/>
      </c>
      <c r="Y332" s="449" t="str">
        <f t="shared" si="37"/>
        <v/>
      </c>
      <c r="Z332" s="449" t="str">
        <f t="shared" si="38"/>
        <v/>
      </c>
    </row>
    <row r="333" spans="21:26" x14ac:dyDescent="0.25">
      <c r="U333" s="449" t="str">
        <f t="shared" si="33"/>
        <v/>
      </c>
      <c r="V333" s="449" t="str">
        <f t="shared" si="34"/>
        <v/>
      </c>
      <c r="W333" s="449" t="str">
        <f t="shared" si="35"/>
        <v/>
      </c>
      <c r="X333" s="449" t="str">
        <f t="shared" si="36"/>
        <v/>
      </c>
      <c r="Y333" s="449" t="str">
        <f t="shared" si="37"/>
        <v/>
      </c>
      <c r="Z333" s="449" t="str">
        <f t="shared" si="38"/>
        <v/>
      </c>
    </row>
    <row r="334" spans="21:26" x14ac:dyDescent="0.25">
      <c r="U334" s="449" t="str">
        <f t="shared" si="33"/>
        <v/>
      </c>
      <c r="V334" s="449" t="str">
        <f t="shared" si="34"/>
        <v/>
      </c>
      <c r="W334" s="449" t="str">
        <f t="shared" si="35"/>
        <v/>
      </c>
      <c r="X334" s="449" t="str">
        <f t="shared" si="36"/>
        <v/>
      </c>
      <c r="Y334" s="449" t="str">
        <f t="shared" si="37"/>
        <v/>
      </c>
      <c r="Z334" s="449" t="str">
        <f t="shared" si="38"/>
        <v/>
      </c>
    </row>
    <row r="335" spans="21:26" x14ac:dyDescent="0.25">
      <c r="U335" s="449" t="str">
        <f t="shared" si="33"/>
        <v/>
      </c>
      <c r="V335" s="449" t="str">
        <f t="shared" si="34"/>
        <v/>
      </c>
      <c r="W335" s="449" t="str">
        <f t="shared" si="35"/>
        <v/>
      </c>
      <c r="X335" s="449" t="str">
        <f t="shared" si="36"/>
        <v/>
      </c>
      <c r="Y335" s="449" t="str">
        <f t="shared" si="37"/>
        <v/>
      </c>
      <c r="Z335" s="449" t="str">
        <f t="shared" si="38"/>
        <v/>
      </c>
    </row>
    <row r="336" spans="21:26" x14ac:dyDescent="0.25">
      <c r="U336" s="449" t="str">
        <f t="shared" si="33"/>
        <v/>
      </c>
      <c r="V336" s="449" t="str">
        <f t="shared" si="34"/>
        <v/>
      </c>
      <c r="W336" s="449" t="str">
        <f t="shared" si="35"/>
        <v/>
      </c>
      <c r="X336" s="449" t="str">
        <f t="shared" si="36"/>
        <v/>
      </c>
      <c r="Y336" s="449" t="str">
        <f t="shared" si="37"/>
        <v/>
      </c>
      <c r="Z336" s="449" t="str">
        <f t="shared" si="38"/>
        <v/>
      </c>
    </row>
    <row r="337" spans="21:26" x14ac:dyDescent="0.25">
      <c r="U337" s="449" t="str">
        <f t="shared" si="33"/>
        <v/>
      </c>
      <c r="V337" s="449" t="str">
        <f t="shared" si="34"/>
        <v/>
      </c>
      <c r="W337" s="449" t="str">
        <f t="shared" si="35"/>
        <v/>
      </c>
      <c r="X337" s="449" t="str">
        <f t="shared" si="36"/>
        <v/>
      </c>
      <c r="Y337" s="449" t="str">
        <f t="shared" si="37"/>
        <v/>
      </c>
      <c r="Z337" s="449" t="str">
        <f t="shared" si="38"/>
        <v/>
      </c>
    </row>
    <row r="338" spans="21:26" x14ac:dyDescent="0.25">
      <c r="U338" s="449" t="str">
        <f t="shared" si="33"/>
        <v/>
      </c>
      <c r="V338" s="449" t="str">
        <f t="shared" si="34"/>
        <v/>
      </c>
      <c r="W338" s="449" t="str">
        <f t="shared" si="35"/>
        <v/>
      </c>
      <c r="X338" s="449" t="str">
        <f t="shared" si="36"/>
        <v/>
      </c>
      <c r="Y338" s="449" t="str">
        <f t="shared" si="37"/>
        <v/>
      </c>
      <c r="Z338" s="449" t="str">
        <f t="shared" si="38"/>
        <v/>
      </c>
    </row>
    <row r="339" spans="21:26" x14ac:dyDescent="0.25">
      <c r="U339" s="449" t="str">
        <f t="shared" si="33"/>
        <v/>
      </c>
      <c r="V339" s="449" t="str">
        <f t="shared" si="34"/>
        <v/>
      </c>
      <c r="W339" s="449" t="str">
        <f t="shared" si="35"/>
        <v/>
      </c>
      <c r="X339" s="449" t="str">
        <f t="shared" si="36"/>
        <v/>
      </c>
      <c r="Y339" s="449" t="str">
        <f t="shared" si="37"/>
        <v/>
      </c>
      <c r="Z339" s="449" t="str">
        <f t="shared" si="38"/>
        <v/>
      </c>
    </row>
    <row r="340" spans="21:26" x14ac:dyDescent="0.25">
      <c r="U340" s="449" t="str">
        <f t="shared" si="33"/>
        <v/>
      </c>
      <c r="V340" s="449" t="str">
        <f t="shared" si="34"/>
        <v/>
      </c>
      <c r="W340" s="449" t="str">
        <f t="shared" si="35"/>
        <v/>
      </c>
      <c r="X340" s="449" t="str">
        <f t="shared" si="36"/>
        <v/>
      </c>
      <c r="Y340" s="449" t="str">
        <f t="shared" si="37"/>
        <v/>
      </c>
      <c r="Z340" s="449" t="str">
        <f t="shared" si="38"/>
        <v/>
      </c>
    </row>
    <row r="341" spans="21:26" x14ac:dyDescent="0.25">
      <c r="U341" s="449" t="str">
        <f t="shared" si="33"/>
        <v/>
      </c>
      <c r="V341" s="449" t="str">
        <f t="shared" si="34"/>
        <v/>
      </c>
      <c r="W341" s="449" t="str">
        <f t="shared" si="35"/>
        <v/>
      </c>
      <c r="X341" s="449" t="str">
        <f t="shared" si="36"/>
        <v/>
      </c>
      <c r="Y341" s="449" t="str">
        <f t="shared" si="37"/>
        <v/>
      </c>
      <c r="Z341" s="449" t="str">
        <f t="shared" si="38"/>
        <v/>
      </c>
    </row>
    <row r="342" spans="21:26" x14ac:dyDescent="0.25">
      <c r="U342" s="449" t="str">
        <f t="shared" si="33"/>
        <v/>
      </c>
      <c r="V342" s="449" t="str">
        <f t="shared" si="34"/>
        <v/>
      </c>
      <c r="W342" s="449" t="str">
        <f t="shared" si="35"/>
        <v/>
      </c>
      <c r="X342" s="449" t="str">
        <f t="shared" si="36"/>
        <v/>
      </c>
      <c r="Y342" s="449" t="str">
        <f t="shared" si="37"/>
        <v/>
      </c>
      <c r="Z342" s="449" t="str">
        <f t="shared" si="38"/>
        <v/>
      </c>
    </row>
    <row r="343" spans="21:26" x14ac:dyDescent="0.25">
      <c r="U343" s="449" t="str">
        <f t="shared" si="33"/>
        <v/>
      </c>
      <c r="V343" s="449" t="str">
        <f t="shared" si="34"/>
        <v/>
      </c>
      <c r="W343" s="449" t="str">
        <f t="shared" si="35"/>
        <v/>
      </c>
      <c r="X343" s="449" t="str">
        <f t="shared" si="36"/>
        <v/>
      </c>
      <c r="Y343" s="449" t="str">
        <f t="shared" si="37"/>
        <v/>
      </c>
      <c r="Z343" s="449" t="str">
        <f t="shared" si="38"/>
        <v/>
      </c>
    </row>
    <row r="344" spans="21:26" x14ac:dyDescent="0.25">
      <c r="U344" s="449" t="str">
        <f t="shared" si="33"/>
        <v/>
      </c>
      <c r="V344" s="449" t="str">
        <f t="shared" si="34"/>
        <v/>
      </c>
      <c r="W344" s="449" t="str">
        <f t="shared" si="35"/>
        <v/>
      </c>
      <c r="X344" s="449" t="str">
        <f t="shared" si="36"/>
        <v/>
      </c>
      <c r="Y344" s="449" t="str">
        <f t="shared" si="37"/>
        <v/>
      </c>
      <c r="Z344" s="449" t="str">
        <f t="shared" si="38"/>
        <v/>
      </c>
    </row>
    <row r="345" spans="21:26" x14ac:dyDescent="0.25">
      <c r="U345" s="449" t="str">
        <f t="shared" si="33"/>
        <v/>
      </c>
      <c r="V345" s="449" t="str">
        <f t="shared" si="34"/>
        <v/>
      </c>
      <c r="W345" s="449" t="str">
        <f t="shared" si="35"/>
        <v/>
      </c>
      <c r="X345" s="449" t="str">
        <f t="shared" si="36"/>
        <v/>
      </c>
      <c r="Y345" s="449" t="str">
        <f t="shared" si="37"/>
        <v/>
      </c>
      <c r="Z345" s="449" t="str">
        <f t="shared" si="38"/>
        <v/>
      </c>
    </row>
    <row r="346" spans="21:26" x14ac:dyDescent="0.25">
      <c r="U346" s="449" t="str">
        <f t="shared" si="33"/>
        <v/>
      </c>
      <c r="V346" s="449" t="str">
        <f t="shared" si="34"/>
        <v/>
      </c>
      <c r="W346" s="449" t="str">
        <f t="shared" si="35"/>
        <v/>
      </c>
      <c r="X346" s="449" t="str">
        <f t="shared" si="36"/>
        <v/>
      </c>
      <c r="Y346" s="449" t="str">
        <f t="shared" si="37"/>
        <v/>
      </c>
      <c r="Z346" s="449" t="str">
        <f t="shared" si="38"/>
        <v/>
      </c>
    </row>
    <row r="347" spans="21:26" x14ac:dyDescent="0.25">
      <c r="U347" s="449" t="str">
        <f t="shared" si="33"/>
        <v/>
      </c>
      <c r="V347" s="449" t="str">
        <f t="shared" si="34"/>
        <v/>
      </c>
      <c r="W347" s="449" t="str">
        <f t="shared" si="35"/>
        <v/>
      </c>
      <c r="X347" s="449" t="str">
        <f t="shared" si="36"/>
        <v/>
      </c>
      <c r="Y347" s="449" t="str">
        <f t="shared" si="37"/>
        <v/>
      </c>
      <c r="Z347" s="449" t="str">
        <f t="shared" si="38"/>
        <v/>
      </c>
    </row>
    <row r="348" spans="21:26" x14ac:dyDescent="0.25">
      <c r="U348" s="449" t="str">
        <f t="shared" si="33"/>
        <v/>
      </c>
      <c r="V348" s="449" t="str">
        <f t="shared" si="34"/>
        <v/>
      </c>
      <c r="W348" s="449" t="str">
        <f t="shared" si="35"/>
        <v/>
      </c>
      <c r="X348" s="449" t="str">
        <f t="shared" si="36"/>
        <v/>
      </c>
      <c r="Y348" s="449" t="str">
        <f t="shared" si="37"/>
        <v/>
      </c>
      <c r="Z348" s="449" t="str">
        <f t="shared" si="38"/>
        <v/>
      </c>
    </row>
    <row r="349" spans="21:26" x14ac:dyDescent="0.25">
      <c r="U349" s="449" t="str">
        <f t="shared" si="33"/>
        <v/>
      </c>
      <c r="V349" s="449" t="str">
        <f t="shared" si="34"/>
        <v/>
      </c>
      <c r="W349" s="449" t="str">
        <f t="shared" si="35"/>
        <v/>
      </c>
      <c r="X349" s="449" t="str">
        <f t="shared" si="36"/>
        <v/>
      </c>
      <c r="Y349" s="449" t="str">
        <f t="shared" si="37"/>
        <v/>
      </c>
      <c r="Z349" s="449" t="str">
        <f t="shared" si="38"/>
        <v/>
      </c>
    </row>
    <row r="350" spans="21:26" x14ac:dyDescent="0.25">
      <c r="U350" s="449" t="str">
        <f t="shared" si="33"/>
        <v/>
      </c>
      <c r="V350" s="449" t="str">
        <f t="shared" si="34"/>
        <v/>
      </c>
      <c r="W350" s="449" t="str">
        <f t="shared" si="35"/>
        <v/>
      </c>
      <c r="X350" s="449" t="str">
        <f t="shared" si="36"/>
        <v/>
      </c>
      <c r="Y350" s="449" t="str">
        <f t="shared" si="37"/>
        <v/>
      </c>
      <c r="Z350" s="449" t="str">
        <f t="shared" si="38"/>
        <v/>
      </c>
    </row>
    <row r="351" spans="21:26" x14ac:dyDescent="0.25">
      <c r="U351" s="449" t="str">
        <f t="shared" si="33"/>
        <v/>
      </c>
      <c r="V351" s="449" t="str">
        <f t="shared" si="34"/>
        <v/>
      </c>
      <c r="W351" s="449" t="str">
        <f t="shared" si="35"/>
        <v/>
      </c>
      <c r="X351" s="449" t="str">
        <f t="shared" si="36"/>
        <v/>
      </c>
      <c r="Y351" s="449" t="str">
        <f t="shared" si="37"/>
        <v/>
      </c>
      <c r="Z351" s="449" t="str">
        <f t="shared" si="38"/>
        <v/>
      </c>
    </row>
    <row r="352" spans="21:26" x14ac:dyDescent="0.25">
      <c r="U352" s="449" t="str">
        <f t="shared" si="33"/>
        <v/>
      </c>
      <c r="V352" s="449" t="str">
        <f t="shared" si="34"/>
        <v/>
      </c>
      <c r="W352" s="449" t="str">
        <f t="shared" si="35"/>
        <v/>
      </c>
      <c r="X352" s="449" t="str">
        <f t="shared" si="36"/>
        <v/>
      </c>
      <c r="Y352" s="449" t="str">
        <f t="shared" si="37"/>
        <v/>
      </c>
      <c r="Z352" s="449" t="str">
        <f t="shared" si="38"/>
        <v/>
      </c>
    </row>
    <row r="353" spans="21:26" x14ac:dyDescent="0.25">
      <c r="U353" s="449" t="str">
        <f t="shared" si="33"/>
        <v/>
      </c>
      <c r="V353" s="449" t="str">
        <f t="shared" si="34"/>
        <v/>
      </c>
      <c r="W353" s="449" t="str">
        <f t="shared" si="35"/>
        <v/>
      </c>
      <c r="X353" s="449" t="str">
        <f t="shared" si="36"/>
        <v/>
      </c>
      <c r="Y353" s="449" t="str">
        <f t="shared" si="37"/>
        <v/>
      </c>
      <c r="Z353" s="449" t="str">
        <f t="shared" si="38"/>
        <v/>
      </c>
    </row>
    <row r="354" spans="21:26" x14ac:dyDescent="0.25">
      <c r="U354" s="449" t="str">
        <f t="shared" si="33"/>
        <v/>
      </c>
      <c r="V354" s="449" t="str">
        <f t="shared" si="34"/>
        <v/>
      </c>
      <c r="W354" s="449" t="str">
        <f t="shared" si="35"/>
        <v/>
      </c>
      <c r="X354" s="449" t="str">
        <f t="shared" si="36"/>
        <v/>
      </c>
      <c r="Y354" s="449" t="str">
        <f t="shared" si="37"/>
        <v/>
      </c>
      <c r="Z354" s="449" t="str">
        <f t="shared" si="38"/>
        <v/>
      </c>
    </row>
    <row r="355" spans="21:26" x14ac:dyDescent="0.25">
      <c r="U355" s="449" t="str">
        <f t="shared" si="33"/>
        <v/>
      </c>
      <c r="V355" s="449" t="str">
        <f t="shared" si="34"/>
        <v/>
      </c>
      <c r="W355" s="449" t="str">
        <f t="shared" si="35"/>
        <v/>
      </c>
      <c r="X355" s="449" t="str">
        <f t="shared" si="36"/>
        <v/>
      </c>
      <c r="Y355" s="449" t="str">
        <f t="shared" si="37"/>
        <v/>
      </c>
      <c r="Z355" s="449" t="str">
        <f t="shared" si="38"/>
        <v/>
      </c>
    </row>
    <row r="356" spans="21:26" x14ac:dyDescent="0.25">
      <c r="U356" s="449" t="str">
        <f t="shared" si="33"/>
        <v/>
      </c>
      <c r="V356" s="449" t="str">
        <f t="shared" si="34"/>
        <v/>
      </c>
      <c r="W356" s="449" t="str">
        <f t="shared" si="35"/>
        <v/>
      </c>
      <c r="X356" s="449" t="str">
        <f t="shared" si="36"/>
        <v/>
      </c>
      <c r="Y356" s="449" t="str">
        <f t="shared" si="37"/>
        <v/>
      </c>
      <c r="Z356" s="449" t="str">
        <f t="shared" si="38"/>
        <v/>
      </c>
    </row>
    <row r="357" spans="21:26" x14ac:dyDescent="0.25">
      <c r="U357" s="449" t="str">
        <f t="shared" si="33"/>
        <v/>
      </c>
      <c r="V357" s="449" t="str">
        <f t="shared" si="34"/>
        <v/>
      </c>
      <c r="W357" s="449" t="str">
        <f t="shared" si="35"/>
        <v/>
      </c>
      <c r="X357" s="449" t="str">
        <f t="shared" si="36"/>
        <v/>
      </c>
      <c r="Y357" s="449" t="str">
        <f t="shared" si="37"/>
        <v/>
      </c>
      <c r="Z357" s="449" t="str">
        <f t="shared" si="38"/>
        <v/>
      </c>
    </row>
    <row r="358" spans="21:26" x14ac:dyDescent="0.25">
      <c r="U358" s="449" t="str">
        <f t="shared" si="33"/>
        <v/>
      </c>
      <c r="V358" s="449" t="str">
        <f t="shared" si="34"/>
        <v/>
      </c>
      <c r="W358" s="449" t="str">
        <f t="shared" si="35"/>
        <v/>
      </c>
      <c r="X358" s="449" t="str">
        <f t="shared" si="36"/>
        <v/>
      </c>
      <c r="Y358" s="449" t="str">
        <f t="shared" si="37"/>
        <v/>
      </c>
      <c r="Z358" s="449" t="str">
        <f t="shared" si="38"/>
        <v/>
      </c>
    </row>
    <row r="359" spans="21:26" x14ac:dyDescent="0.25">
      <c r="U359" s="449" t="str">
        <f t="shared" si="33"/>
        <v/>
      </c>
      <c r="V359" s="449" t="str">
        <f t="shared" si="34"/>
        <v/>
      </c>
      <c r="W359" s="449" t="str">
        <f t="shared" si="35"/>
        <v/>
      </c>
      <c r="X359" s="449" t="str">
        <f t="shared" si="36"/>
        <v/>
      </c>
      <c r="Y359" s="449" t="str">
        <f t="shared" si="37"/>
        <v/>
      </c>
      <c r="Z359" s="449" t="str">
        <f t="shared" si="38"/>
        <v/>
      </c>
    </row>
    <row r="360" spans="21:26" x14ac:dyDescent="0.25">
      <c r="U360" s="449" t="str">
        <f t="shared" si="33"/>
        <v/>
      </c>
      <c r="V360" s="449" t="str">
        <f t="shared" si="34"/>
        <v/>
      </c>
      <c r="W360" s="449" t="str">
        <f t="shared" si="35"/>
        <v/>
      </c>
      <c r="X360" s="449" t="str">
        <f t="shared" si="36"/>
        <v/>
      </c>
      <c r="Y360" s="449" t="str">
        <f t="shared" si="37"/>
        <v/>
      </c>
      <c r="Z360" s="449" t="str">
        <f t="shared" si="38"/>
        <v/>
      </c>
    </row>
    <row r="361" spans="21:26" x14ac:dyDescent="0.25">
      <c r="U361" s="449" t="str">
        <f t="shared" si="33"/>
        <v/>
      </c>
      <c r="V361" s="449" t="str">
        <f t="shared" si="34"/>
        <v/>
      </c>
      <c r="W361" s="449" t="str">
        <f t="shared" si="35"/>
        <v/>
      </c>
      <c r="X361" s="449" t="str">
        <f t="shared" si="36"/>
        <v/>
      </c>
      <c r="Y361" s="449" t="str">
        <f t="shared" si="37"/>
        <v/>
      </c>
      <c r="Z361" s="449" t="str">
        <f t="shared" si="38"/>
        <v/>
      </c>
    </row>
    <row r="362" spans="21:26" x14ac:dyDescent="0.25">
      <c r="U362" s="449" t="str">
        <f t="shared" si="33"/>
        <v/>
      </c>
      <c r="V362" s="449" t="str">
        <f t="shared" si="34"/>
        <v/>
      </c>
      <c r="W362" s="449" t="str">
        <f t="shared" si="35"/>
        <v/>
      </c>
      <c r="X362" s="449" t="str">
        <f t="shared" si="36"/>
        <v/>
      </c>
      <c r="Y362" s="449" t="str">
        <f t="shared" si="37"/>
        <v/>
      </c>
      <c r="Z362" s="449" t="str">
        <f t="shared" si="38"/>
        <v/>
      </c>
    </row>
    <row r="363" spans="21:26" x14ac:dyDescent="0.25">
      <c r="U363" s="449" t="str">
        <f t="shared" si="33"/>
        <v/>
      </c>
      <c r="V363" s="449" t="str">
        <f t="shared" si="34"/>
        <v/>
      </c>
      <c r="W363" s="449" t="str">
        <f t="shared" si="35"/>
        <v/>
      </c>
      <c r="X363" s="449" t="str">
        <f t="shared" si="36"/>
        <v/>
      </c>
      <c r="Y363" s="449" t="str">
        <f t="shared" si="37"/>
        <v/>
      </c>
      <c r="Z363" s="449" t="str">
        <f t="shared" si="38"/>
        <v/>
      </c>
    </row>
    <row r="364" spans="21:26" x14ac:dyDescent="0.25">
      <c r="U364" s="449" t="str">
        <f t="shared" si="33"/>
        <v/>
      </c>
      <c r="V364" s="449" t="str">
        <f t="shared" si="34"/>
        <v/>
      </c>
      <c r="W364" s="449" t="str">
        <f t="shared" si="35"/>
        <v/>
      </c>
      <c r="X364" s="449" t="str">
        <f t="shared" si="36"/>
        <v/>
      </c>
      <c r="Y364" s="449" t="str">
        <f t="shared" si="37"/>
        <v/>
      </c>
      <c r="Z364" s="449" t="str">
        <f t="shared" si="38"/>
        <v/>
      </c>
    </row>
    <row r="365" spans="21:26" x14ac:dyDescent="0.25">
      <c r="U365" s="449" t="str">
        <f t="shared" si="33"/>
        <v/>
      </c>
      <c r="V365" s="449" t="str">
        <f t="shared" si="34"/>
        <v/>
      </c>
      <c r="W365" s="449" t="str">
        <f t="shared" si="35"/>
        <v/>
      </c>
      <c r="X365" s="449" t="str">
        <f t="shared" si="36"/>
        <v/>
      </c>
      <c r="Y365" s="449" t="str">
        <f t="shared" si="37"/>
        <v/>
      </c>
      <c r="Z365" s="449" t="str">
        <f t="shared" si="38"/>
        <v/>
      </c>
    </row>
    <row r="366" spans="21:26" x14ac:dyDescent="0.25">
      <c r="U366" s="449" t="str">
        <f t="shared" si="33"/>
        <v/>
      </c>
      <c r="V366" s="449" t="str">
        <f t="shared" si="34"/>
        <v/>
      </c>
      <c r="W366" s="449" t="str">
        <f t="shared" si="35"/>
        <v/>
      </c>
      <c r="X366" s="449" t="str">
        <f t="shared" si="36"/>
        <v/>
      </c>
      <c r="Y366" s="449" t="str">
        <f t="shared" si="37"/>
        <v/>
      </c>
      <c r="Z366" s="449" t="str">
        <f t="shared" si="38"/>
        <v/>
      </c>
    </row>
    <row r="367" spans="21:26" x14ac:dyDescent="0.25">
      <c r="U367" s="449" t="str">
        <f t="shared" si="33"/>
        <v/>
      </c>
      <c r="V367" s="449" t="str">
        <f t="shared" si="34"/>
        <v/>
      </c>
      <c r="W367" s="449" t="str">
        <f t="shared" si="35"/>
        <v/>
      </c>
      <c r="X367" s="449" t="str">
        <f t="shared" si="36"/>
        <v/>
      </c>
      <c r="Y367" s="449" t="str">
        <f t="shared" si="37"/>
        <v/>
      </c>
      <c r="Z367" s="449" t="str">
        <f t="shared" si="38"/>
        <v/>
      </c>
    </row>
    <row r="368" spans="21:26" x14ac:dyDescent="0.25">
      <c r="U368" s="449" t="str">
        <f t="shared" si="33"/>
        <v/>
      </c>
      <c r="V368" s="449" t="str">
        <f t="shared" si="34"/>
        <v/>
      </c>
      <c r="W368" s="449" t="str">
        <f t="shared" si="35"/>
        <v/>
      </c>
      <c r="X368" s="449" t="str">
        <f t="shared" si="36"/>
        <v/>
      </c>
      <c r="Y368" s="449" t="str">
        <f t="shared" si="37"/>
        <v/>
      </c>
      <c r="Z368" s="449" t="str">
        <f t="shared" si="38"/>
        <v/>
      </c>
    </row>
    <row r="369" spans="21:26" x14ac:dyDescent="0.25">
      <c r="U369" s="449" t="str">
        <f t="shared" si="33"/>
        <v/>
      </c>
      <c r="V369" s="449" t="str">
        <f t="shared" si="34"/>
        <v/>
      </c>
      <c r="W369" s="449" t="str">
        <f t="shared" si="35"/>
        <v/>
      </c>
      <c r="X369" s="449" t="str">
        <f t="shared" si="36"/>
        <v/>
      </c>
      <c r="Y369" s="449" t="str">
        <f t="shared" si="37"/>
        <v/>
      </c>
      <c r="Z369" s="449" t="str">
        <f t="shared" si="38"/>
        <v/>
      </c>
    </row>
    <row r="370" spans="21:26" x14ac:dyDescent="0.25">
      <c r="U370" s="449" t="str">
        <f t="shared" si="33"/>
        <v/>
      </c>
      <c r="V370" s="449" t="str">
        <f t="shared" si="34"/>
        <v/>
      </c>
      <c r="W370" s="449" t="str">
        <f t="shared" si="35"/>
        <v/>
      </c>
      <c r="X370" s="449" t="str">
        <f t="shared" si="36"/>
        <v/>
      </c>
      <c r="Y370" s="449" t="str">
        <f t="shared" si="37"/>
        <v/>
      </c>
      <c r="Z370" s="449" t="str">
        <f t="shared" si="38"/>
        <v/>
      </c>
    </row>
    <row r="371" spans="21:26" x14ac:dyDescent="0.25">
      <c r="U371" s="449" t="str">
        <f t="shared" si="33"/>
        <v/>
      </c>
      <c r="V371" s="449" t="str">
        <f t="shared" si="34"/>
        <v/>
      </c>
      <c r="W371" s="449" t="str">
        <f t="shared" si="35"/>
        <v/>
      </c>
      <c r="X371" s="449" t="str">
        <f t="shared" si="36"/>
        <v/>
      </c>
      <c r="Y371" s="449" t="str">
        <f t="shared" si="37"/>
        <v/>
      </c>
      <c r="Z371" s="449" t="str">
        <f t="shared" si="38"/>
        <v/>
      </c>
    </row>
    <row r="372" spans="21:26" x14ac:dyDescent="0.25">
      <c r="U372" s="449" t="str">
        <f t="shared" si="33"/>
        <v/>
      </c>
      <c r="V372" s="449" t="str">
        <f t="shared" si="34"/>
        <v/>
      </c>
      <c r="W372" s="449" t="str">
        <f t="shared" si="35"/>
        <v/>
      </c>
      <c r="X372" s="449" t="str">
        <f t="shared" si="36"/>
        <v/>
      </c>
      <c r="Y372" s="449" t="str">
        <f t="shared" si="37"/>
        <v/>
      </c>
      <c r="Z372" s="449" t="str">
        <f t="shared" si="38"/>
        <v/>
      </c>
    </row>
    <row r="373" spans="21:26" x14ac:dyDescent="0.25">
      <c r="U373" s="449" t="str">
        <f t="shared" si="33"/>
        <v/>
      </c>
      <c r="V373" s="449" t="str">
        <f t="shared" si="34"/>
        <v/>
      </c>
      <c r="W373" s="449" t="str">
        <f t="shared" si="35"/>
        <v/>
      </c>
      <c r="X373" s="449" t="str">
        <f t="shared" si="36"/>
        <v/>
      </c>
      <c r="Y373" s="449" t="str">
        <f t="shared" si="37"/>
        <v/>
      </c>
      <c r="Z373" s="449" t="str">
        <f t="shared" si="38"/>
        <v/>
      </c>
    </row>
    <row r="374" spans="21:26" x14ac:dyDescent="0.25">
      <c r="U374" s="449" t="str">
        <f t="shared" si="33"/>
        <v/>
      </c>
      <c r="V374" s="449" t="str">
        <f t="shared" si="34"/>
        <v/>
      </c>
      <c r="W374" s="449" t="str">
        <f t="shared" si="35"/>
        <v/>
      </c>
      <c r="X374" s="449" t="str">
        <f t="shared" si="36"/>
        <v/>
      </c>
      <c r="Y374" s="449" t="str">
        <f t="shared" si="37"/>
        <v/>
      </c>
      <c r="Z374" s="449" t="str">
        <f t="shared" si="38"/>
        <v/>
      </c>
    </row>
    <row r="375" spans="21:26" x14ac:dyDescent="0.25">
      <c r="U375" s="449" t="str">
        <f t="shared" si="33"/>
        <v/>
      </c>
      <c r="V375" s="449" t="str">
        <f t="shared" si="34"/>
        <v/>
      </c>
      <c r="W375" s="449" t="str">
        <f t="shared" si="35"/>
        <v/>
      </c>
      <c r="X375" s="449" t="str">
        <f t="shared" si="36"/>
        <v/>
      </c>
      <c r="Y375" s="449" t="str">
        <f t="shared" si="37"/>
        <v/>
      </c>
      <c r="Z375" s="449" t="str">
        <f t="shared" si="38"/>
        <v/>
      </c>
    </row>
    <row r="376" spans="21:26" x14ac:dyDescent="0.25">
      <c r="U376" s="449" t="str">
        <f t="shared" si="33"/>
        <v/>
      </c>
      <c r="V376" s="449" t="str">
        <f t="shared" si="34"/>
        <v/>
      </c>
      <c r="W376" s="449" t="str">
        <f t="shared" si="35"/>
        <v/>
      </c>
      <c r="X376" s="449" t="str">
        <f t="shared" si="36"/>
        <v/>
      </c>
      <c r="Y376" s="449" t="str">
        <f t="shared" si="37"/>
        <v/>
      </c>
      <c r="Z376" s="449" t="str">
        <f t="shared" si="38"/>
        <v/>
      </c>
    </row>
    <row r="377" spans="21:26" x14ac:dyDescent="0.25">
      <c r="U377" s="449" t="str">
        <f t="shared" si="33"/>
        <v/>
      </c>
      <c r="V377" s="449" t="str">
        <f t="shared" si="34"/>
        <v/>
      </c>
      <c r="W377" s="449" t="str">
        <f t="shared" si="35"/>
        <v/>
      </c>
      <c r="X377" s="449" t="str">
        <f t="shared" si="36"/>
        <v/>
      </c>
      <c r="Y377" s="449" t="str">
        <f t="shared" si="37"/>
        <v/>
      </c>
      <c r="Z377" s="449" t="str">
        <f t="shared" si="38"/>
        <v/>
      </c>
    </row>
    <row r="378" spans="21:26" x14ac:dyDescent="0.25">
      <c r="U378" s="449" t="str">
        <f t="shared" si="33"/>
        <v/>
      </c>
      <c r="V378" s="449" t="str">
        <f t="shared" si="34"/>
        <v/>
      </c>
      <c r="W378" s="449" t="str">
        <f t="shared" si="35"/>
        <v/>
      </c>
      <c r="X378" s="449" t="str">
        <f t="shared" si="36"/>
        <v/>
      </c>
      <c r="Y378" s="449" t="str">
        <f t="shared" si="37"/>
        <v/>
      </c>
      <c r="Z378" s="449" t="str">
        <f t="shared" si="38"/>
        <v/>
      </c>
    </row>
    <row r="379" spans="21:26" x14ac:dyDescent="0.25">
      <c r="U379" s="449" t="str">
        <f t="shared" si="33"/>
        <v/>
      </c>
      <c r="V379" s="449" t="str">
        <f t="shared" si="34"/>
        <v/>
      </c>
      <c r="W379" s="449" t="str">
        <f t="shared" si="35"/>
        <v/>
      </c>
      <c r="X379" s="449" t="str">
        <f t="shared" si="36"/>
        <v/>
      </c>
      <c r="Y379" s="449" t="str">
        <f t="shared" si="37"/>
        <v/>
      </c>
      <c r="Z379" s="449" t="str">
        <f t="shared" si="38"/>
        <v/>
      </c>
    </row>
    <row r="380" spans="21:26" x14ac:dyDescent="0.25">
      <c r="U380" s="449" t="str">
        <f t="shared" si="33"/>
        <v/>
      </c>
      <c r="V380" s="449" t="str">
        <f t="shared" si="34"/>
        <v/>
      </c>
      <c r="W380" s="449" t="str">
        <f t="shared" si="35"/>
        <v/>
      </c>
      <c r="X380" s="449" t="str">
        <f t="shared" si="36"/>
        <v/>
      </c>
      <c r="Y380" s="449" t="str">
        <f t="shared" si="37"/>
        <v/>
      </c>
      <c r="Z380" s="449" t="str">
        <f t="shared" si="38"/>
        <v/>
      </c>
    </row>
    <row r="381" spans="21:26" x14ac:dyDescent="0.25">
      <c r="U381" s="449" t="str">
        <f t="shared" si="33"/>
        <v/>
      </c>
      <c r="V381" s="449" t="str">
        <f t="shared" si="34"/>
        <v/>
      </c>
      <c r="W381" s="449" t="str">
        <f t="shared" si="35"/>
        <v/>
      </c>
      <c r="X381" s="449" t="str">
        <f t="shared" si="36"/>
        <v/>
      </c>
      <c r="Y381" s="449" t="str">
        <f t="shared" si="37"/>
        <v/>
      </c>
      <c r="Z381" s="449" t="str">
        <f t="shared" si="38"/>
        <v/>
      </c>
    </row>
    <row r="382" spans="21:26" x14ac:dyDescent="0.25">
      <c r="U382" s="449" t="str">
        <f t="shared" si="33"/>
        <v/>
      </c>
      <c r="V382" s="449" t="str">
        <f t="shared" si="34"/>
        <v/>
      </c>
      <c r="W382" s="449" t="str">
        <f t="shared" si="35"/>
        <v/>
      </c>
      <c r="X382" s="449" t="str">
        <f t="shared" si="36"/>
        <v/>
      </c>
      <c r="Y382" s="449" t="str">
        <f t="shared" si="37"/>
        <v/>
      </c>
      <c r="Z382" s="449" t="str">
        <f t="shared" si="38"/>
        <v/>
      </c>
    </row>
    <row r="383" spans="21:26" x14ac:dyDescent="0.25">
      <c r="U383" s="449" t="str">
        <f t="shared" si="33"/>
        <v/>
      </c>
      <c r="V383" s="449" t="str">
        <f t="shared" si="34"/>
        <v/>
      </c>
      <c r="W383" s="449" t="str">
        <f t="shared" si="35"/>
        <v/>
      </c>
      <c r="X383" s="449" t="str">
        <f t="shared" si="36"/>
        <v/>
      </c>
      <c r="Y383" s="449" t="str">
        <f t="shared" si="37"/>
        <v/>
      </c>
      <c r="Z383" s="449" t="str">
        <f t="shared" si="38"/>
        <v/>
      </c>
    </row>
    <row r="384" spans="21:26" x14ac:dyDescent="0.25">
      <c r="U384" s="449" t="str">
        <f t="shared" si="33"/>
        <v/>
      </c>
      <c r="V384" s="449" t="str">
        <f t="shared" si="34"/>
        <v/>
      </c>
      <c r="W384" s="449" t="str">
        <f t="shared" si="35"/>
        <v/>
      </c>
      <c r="X384" s="449" t="str">
        <f t="shared" si="36"/>
        <v/>
      </c>
      <c r="Y384" s="449" t="str">
        <f t="shared" si="37"/>
        <v/>
      </c>
      <c r="Z384" s="449" t="str">
        <f t="shared" si="38"/>
        <v/>
      </c>
    </row>
    <row r="385" spans="21:26" x14ac:dyDescent="0.25">
      <c r="U385" s="449" t="str">
        <f t="shared" si="33"/>
        <v/>
      </c>
      <c r="V385" s="449" t="str">
        <f t="shared" si="34"/>
        <v/>
      </c>
      <c r="W385" s="449" t="str">
        <f t="shared" si="35"/>
        <v/>
      </c>
      <c r="X385" s="449" t="str">
        <f t="shared" si="36"/>
        <v/>
      </c>
      <c r="Y385" s="449" t="str">
        <f t="shared" si="37"/>
        <v/>
      </c>
      <c r="Z385" s="449" t="str">
        <f t="shared" si="38"/>
        <v/>
      </c>
    </row>
    <row r="386" spans="21:26" x14ac:dyDescent="0.25">
      <c r="U386" s="449" t="str">
        <f t="shared" si="33"/>
        <v/>
      </c>
      <c r="V386" s="449" t="str">
        <f t="shared" si="34"/>
        <v/>
      </c>
      <c r="W386" s="449" t="str">
        <f t="shared" si="35"/>
        <v/>
      </c>
      <c r="X386" s="449" t="str">
        <f t="shared" si="36"/>
        <v/>
      </c>
      <c r="Y386" s="449" t="str">
        <f t="shared" si="37"/>
        <v/>
      </c>
      <c r="Z386" s="449" t="str">
        <f t="shared" si="38"/>
        <v/>
      </c>
    </row>
    <row r="387" spans="21:26" x14ac:dyDescent="0.25">
      <c r="U387" s="449" t="str">
        <f t="shared" si="33"/>
        <v/>
      </c>
      <c r="V387" s="449" t="str">
        <f t="shared" si="34"/>
        <v/>
      </c>
      <c r="W387" s="449" t="str">
        <f t="shared" si="35"/>
        <v/>
      </c>
      <c r="X387" s="449" t="str">
        <f t="shared" si="36"/>
        <v/>
      </c>
      <c r="Y387" s="449" t="str">
        <f t="shared" si="37"/>
        <v/>
      </c>
      <c r="Z387" s="449" t="str">
        <f t="shared" si="38"/>
        <v/>
      </c>
    </row>
    <row r="388" spans="21:26" x14ac:dyDescent="0.25">
      <c r="U388" s="449" t="str">
        <f t="shared" ref="U388:U451" si="39">IF(AB388="","",LEFT(W388,2)&amp;"00")</f>
        <v/>
      </c>
      <c r="V388" s="449" t="str">
        <f t="shared" ref="V388:V451" si="40">IF(W388="","",IF(AND(W388&gt;"1109",W388&lt;"1172"),"1",IF(OR(W388="3111",W388="3113",W388="3117",W388="3204",W388="3214",W388="3216",W388="3373",W388="3376",W388="3803"),"1",IF(LEFT(W388,1)="1",IF(OR(LEFT(W388,2)="10",LEFT(W388,2)="12",LEFT(W388,2)="16",LEFT(W388,2)="18",LEFT(W388,2)="19"),"19",LEFT(W388,2)),LEFT(W388,1)&amp;"000"))))</f>
        <v/>
      </c>
      <c r="W388" s="449" t="str">
        <f t="shared" ref="W388:W451" si="41">LEFT(AB388,4)</f>
        <v/>
      </c>
      <c r="X388" s="449" t="str">
        <f t="shared" si="36"/>
        <v/>
      </c>
      <c r="Y388" s="449" t="str">
        <f t="shared" si="37"/>
        <v/>
      </c>
      <c r="Z388" s="449" t="str">
        <f t="shared" si="38"/>
        <v/>
      </c>
    </row>
    <row r="389" spans="21:26" x14ac:dyDescent="0.25">
      <c r="U389" s="449" t="str">
        <f t="shared" si="39"/>
        <v/>
      </c>
      <c r="V389" s="449" t="str">
        <f t="shared" si="40"/>
        <v/>
      </c>
      <c r="W389" s="449" t="str">
        <f t="shared" si="41"/>
        <v/>
      </c>
      <c r="X389" s="449" t="str">
        <f t="shared" si="36"/>
        <v/>
      </c>
      <c r="Y389" s="449" t="str">
        <f t="shared" si="37"/>
        <v/>
      </c>
      <c r="Z389" s="449" t="str">
        <f t="shared" si="38"/>
        <v/>
      </c>
    </row>
    <row r="390" spans="21:26" x14ac:dyDescent="0.25">
      <c r="U390" s="449" t="str">
        <f t="shared" si="39"/>
        <v/>
      </c>
      <c r="V390" s="449" t="str">
        <f t="shared" si="40"/>
        <v/>
      </c>
      <c r="W390" s="449" t="str">
        <f t="shared" si="41"/>
        <v/>
      </c>
      <c r="X390" s="449" t="str">
        <f t="shared" si="36"/>
        <v/>
      </c>
      <c r="Y390" s="449" t="str">
        <f t="shared" si="37"/>
        <v/>
      </c>
      <c r="Z390" s="449" t="str">
        <f t="shared" si="38"/>
        <v/>
      </c>
    </row>
    <row r="391" spans="21:26" x14ac:dyDescent="0.25">
      <c r="U391" s="449" t="str">
        <f t="shared" si="39"/>
        <v/>
      </c>
      <c r="V391" s="449" t="str">
        <f t="shared" si="40"/>
        <v/>
      </c>
      <c r="W391" s="449" t="str">
        <f t="shared" si="41"/>
        <v/>
      </c>
      <c r="X391" s="449" t="str">
        <f t="shared" si="36"/>
        <v/>
      </c>
      <c r="Y391" s="449" t="str">
        <f t="shared" si="37"/>
        <v/>
      </c>
      <c r="Z391" s="449" t="str">
        <f t="shared" si="38"/>
        <v/>
      </c>
    </row>
    <row r="392" spans="21:26" x14ac:dyDescent="0.25">
      <c r="U392" s="449" t="str">
        <f t="shared" si="39"/>
        <v/>
      </c>
      <c r="V392" s="449" t="str">
        <f t="shared" si="40"/>
        <v/>
      </c>
      <c r="W392" s="449" t="str">
        <f t="shared" si="41"/>
        <v/>
      </c>
      <c r="X392" s="449" t="str">
        <f t="shared" si="36"/>
        <v/>
      </c>
      <c r="Y392" s="449" t="str">
        <f t="shared" si="37"/>
        <v/>
      </c>
      <c r="Z392" s="449" t="str">
        <f t="shared" si="38"/>
        <v/>
      </c>
    </row>
    <row r="393" spans="21:26" x14ac:dyDescent="0.25">
      <c r="U393" s="449" t="str">
        <f t="shared" si="39"/>
        <v/>
      </c>
      <c r="V393" s="449" t="str">
        <f t="shared" si="40"/>
        <v/>
      </c>
      <c r="W393" s="449" t="str">
        <f t="shared" si="41"/>
        <v/>
      </c>
      <c r="X393" s="449" t="str">
        <f t="shared" ref="X393:X456" si="42">IF(Z393="","",IF(OR(Z393="21",Z393="22",Z393="36",Z393="61",Z393="24"),Z393,LEFT(Z393,1)&amp;"0"))</f>
        <v/>
      </c>
      <c r="Y393" s="449" t="str">
        <f t="shared" ref="Y393:Y456" si="43">IF(AB393="","",IF(OR(LEFT(AB393,1)="1",LEFT(AB393,1)="2",LEFT(AB393,1)="3",LEFT(AB393,1)="4"),LEFT(AB393,1)&amp;"000","9000"))</f>
        <v/>
      </c>
      <c r="Z393" s="449" t="str">
        <f t="shared" ref="Z393:Z456" si="44">LEFT(AA393,2)</f>
        <v/>
      </c>
    </row>
    <row r="394" spans="21:26" x14ac:dyDescent="0.25">
      <c r="U394" s="449" t="str">
        <f t="shared" si="39"/>
        <v/>
      </c>
      <c r="V394" s="449" t="str">
        <f t="shared" si="40"/>
        <v/>
      </c>
      <c r="W394" s="449" t="str">
        <f t="shared" si="41"/>
        <v/>
      </c>
      <c r="X394" s="449" t="str">
        <f t="shared" si="42"/>
        <v/>
      </c>
      <c r="Y394" s="449" t="str">
        <f t="shared" si="43"/>
        <v/>
      </c>
      <c r="Z394" s="449" t="str">
        <f t="shared" si="44"/>
        <v/>
      </c>
    </row>
    <row r="395" spans="21:26" x14ac:dyDescent="0.25">
      <c r="U395" s="449" t="str">
        <f t="shared" si="39"/>
        <v/>
      </c>
      <c r="V395" s="449" t="str">
        <f t="shared" si="40"/>
        <v/>
      </c>
      <c r="W395" s="449" t="str">
        <f t="shared" si="41"/>
        <v/>
      </c>
      <c r="X395" s="449" t="str">
        <f t="shared" si="42"/>
        <v/>
      </c>
      <c r="Y395" s="449" t="str">
        <f t="shared" si="43"/>
        <v/>
      </c>
      <c r="Z395" s="449" t="str">
        <f t="shared" si="44"/>
        <v/>
      </c>
    </row>
    <row r="396" spans="21:26" x14ac:dyDescent="0.25">
      <c r="U396" s="449" t="str">
        <f t="shared" si="39"/>
        <v/>
      </c>
      <c r="V396" s="449" t="str">
        <f t="shared" si="40"/>
        <v/>
      </c>
      <c r="W396" s="449" t="str">
        <f t="shared" si="41"/>
        <v/>
      </c>
      <c r="X396" s="449" t="str">
        <f t="shared" si="42"/>
        <v/>
      </c>
      <c r="Y396" s="449" t="str">
        <f t="shared" si="43"/>
        <v/>
      </c>
      <c r="Z396" s="449" t="str">
        <f t="shared" si="44"/>
        <v/>
      </c>
    </row>
    <row r="397" spans="21:26" x14ac:dyDescent="0.25">
      <c r="U397" s="449" t="str">
        <f t="shared" si="39"/>
        <v/>
      </c>
      <c r="V397" s="449" t="str">
        <f t="shared" si="40"/>
        <v/>
      </c>
      <c r="W397" s="449" t="str">
        <f t="shared" si="41"/>
        <v/>
      </c>
      <c r="X397" s="449" t="str">
        <f t="shared" si="42"/>
        <v/>
      </c>
      <c r="Y397" s="449" t="str">
        <f t="shared" si="43"/>
        <v/>
      </c>
      <c r="Z397" s="449" t="str">
        <f t="shared" si="44"/>
        <v/>
      </c>
    </row>
    <row r="398" spans="21:26" x14ac:dyDescent="0.25">
      <c r="U398" s="449" t="str">
        <f t="shared" si="39"/>
        <v/>
      </c>
      <c r="V398" s="449" t="str">
        <f t="shared" si="40"/>
        <v/>
      </c>
      <c r="W398" s="449" t="str">
        <f t="shared" si="41"/>
        <v/>
      </c>
      <c r="X398" s="449" t="str">
        <f t="shared" si="42"/>
        <v/>
      </c>
      <c r="Y398" s="449" t="str">
        <f t="shared" si="43"/>
        <v/>
      </c>
      <c r="Z398" s="449" t="str">
        <f t="shared" si="44"/>
        <v/>
      </c>
    </row>
    <row r="399" spans="21:26" x14ac:dyDescent="0.25">
      <c r="U399" s="449" t="str">
        <f t="shared" si="39"/>
        <v/>
      </c>
      <c r="V399" s="449" t="str">
        <f t="shared" si="40"/>
        <v/>
      </c>
      <c r="W399" s="449" t="str">
        <f t="shared" si="41"/>
        <v/>
      </c>
      <c r="X399" s="449" t="str">
        <f t="shared" si="42"/>
        <v/>
      </c>
      <c r="Y399" s="449" t="str">
        <f t="shared" si="43"/>
        <v/>
      </c>
      <c r="Z399" s="449" t="str">
        <f t="shared" si="44"/>
        <v/>
      </c>
    </row>
    <row r="400" spans="21:26" x14ac:dyDescent="0.25">
      <c r="U400" s="449" t="str">
        <f t="shared" si="39"/>
        <v/>
      </c>
      <c r="V400" s="449" t="str">
        <f t="shared" si="40"/>
        <v/>
      </c>
      <c r="W400" s="449" t="str">
        <f t="shared" si="41"/>
        <v/>
      </c>
      <c r="X400" s="449" t="str">
        <f t="shared" si="42"/>
        <v/>
      </c>
      <c r="Y400" s="449" t="str">
        <f t="shared" si="43"/>
        <v/>
      </c>
      <c r="Z400" s="449" t="str">
        <f t="shared" si="44"/>
        <v/>
      </c>
    </row>
    <row r="401" spans="21:26" x14ac:dyDescent="0.25">
      <c r="U401" s="449" t="str">
        <f t="shared" si="39"/>
        <v/>
      </c>
      <c r="V401" s="449" t="str">
        <f t="shared" si="40"/>
        <v/>
      </c>
      <c r="W401" s="449" t="str">
        <f t="shared" si="41"/>
        <v/>
      </c>
      <c r="X401" s="449" t="str">
        <f t="shared" si="42"/>
        <v/>
      </c>
      <c r="Y401" s="449" t="str">
        <f t="shared" si="43"/>
        <v/>
      </c>
      <c r="Z401" s="449" t="str">
        <f t="shared" si="44"/>
        <v/>
      </c>
    </row>
    <row r="402" spans="21:26" x14ac:dyDescent="0.25">
      <c r="U402" s="449" t="str">
        <f t="shared" si="39"/>
        <v/>
      </c>
      <c r="V402" s="449" t="str">
        <f t="shared" si="40"/>
        <v/>
      </c>
      <c r="W402" s="449" t="str">
        <f t="shared" si="41"/>
        <v/>
      </c>
      <c r="X402" s="449" t="str">
        <f t="shared" si="42"/>
        <v/>
      </c>
      <c r="Y402" s="449" t="str">
        <f t="shared" si="43"/>
        <v/>
      </c>
      <c r="Z402" s="449" t="str">
        <f t="shared" si="44"/>
        <v/>
      </c>
    </row>
    <row r="403" spans="21:26" x14ac:dyDescent="0.25">
      <c r="U403" s="449" t="str">
        <f t="shared" si="39"/>
        <v/>
      </c>
      <c r="V403" s="449" t="str">
        <f t="shared" si="40"/>
        <v/>
      </c>
      <c r="W403" s="449" t="str">
        <f t="shared" si="41"/>
        <v/>
      </c>
      <c r="X403" s="449" t="str">
        <f t="shared" si="42"/>
        <v/>
      </c>
      <c r="Y403" s="449" t="str">
        <f t="shared" si="43"/>
        <v/>
      </c>
      <c r="Z403" s="449" t="str">
        <f t="shared" si="44"/>
        <v/>
      </c>
    </row>
    <row r="404" spans="21:26" x14ac:dyDescent="0.25">
      <c r="U404" s="449" t="str">
        <f t="shared" si="39"/>
        <v/>
      </c>
      <c r="V404" s="449" t="str">
        <f t="shared" si="40"/>
        <v/>
      </c>
      <c r="W404" s="449" t="str">
        <f t="shared" si="41"/>
        <v/>
      </c>
      <c r="X404" s="449" t="str">
        <f t="shared" si="42"/>
        <v/>
      </c>
      <c r="Y404" s="449" t="str">
        <f t="shared" si="43"/>
        <v/>
      </c>
      <c r="Z404" s="449" t="str">
        <f t="shared" si="44"/>
        <v/>
      </c>
    </row>
    <row r="405" spans="21:26" x14ac:dyDescent="0.25">
      <c r="U405" s="449" t="str">
        <f t="shared" si="39"/>
        <v/>
      </c>
      <c r="V405" s="449" t="str">
        <f t="shared" si="40"/>
        <v/>
      </c>
      <c r="W405" s="449" t="str">
        <f t="shared" si="41"/>
        <v/>
      </c>
      <c r="X405" s="449" t="str">
        <f t="shared" si="42"/>
        <v/>
      </c>
      <c r="Y405" s="449" t="str">
        <f t="shared" si="43"/>
        <v/>
      </c>
      <c r="Z405" s="449" t="str">
        <f t="shared" si="44"/>
        <v/>
      </c>
    </row>
    <row r="406" spans="21:26" x14ac:dyDescent="0.25">
      <c r="U406" s="449" t="str">
        <f t="shared" si="39"/>
        <v/>
      </c>
      <c r="V406" s="449" t="str">
        <f t="shared" si="40"/>
        <v/>
      </c>
      <c r="W406" s="449" t="str">
        <f t="shared" si="41"/>
        <v/>
      </c>
      <c r="X406" s="449" t="str">
        <f t="shared" si="42"/>
        <v/>
      </c>
      <c r="Y406" s="449" t="str">
        <f t="shared" si="43"/>
        <v/>
      </c>
      <c r="Z406" s="449" t="str">
        <f t="shared" si="44"/>
        <v/>
      </c>
    </row>
    <row r="407" spans="21:26" x14ac:dyDescent="0.25">
      <c r="U407" s="449" t="str">
        <f t="shared" si="39"/>
        <v/>
      </c>
      <c r="V407" s="449" t="str">
        <f t="shared" si="40"/>
        <v/>
      </c>
      <c r="W407" s="449" t="str">
        <f t="shared" si="41"/>
        <v/>
      </c>
      <c r="X407" s="449" t="str">
        <f t="shared" si="42"/>
        <v/>
      </c>
      <c r="Y407" s="449" t="str">
        <f t="shared" si="43"/>
        <v/>
      </c>
      <c r="Z407" s="449" t="str">
        <f t="shared" si="44"/>
        <v/>
      </c>
    </row>
    <row r="408" spans="21:26" x14ac:dyDescent="0.25">
      <c r="U408" s="449" t="str">
        <f t="shared" si="39"/>
        <v/>
      </c>
      <c r="V408" s="449" t="str">
        <f t="shared" si="40"/>
        <v/>
      </c>
      <c r="W408" s="449" t="str">
        <f t="shared" si="41"/>
        <v/>
      </c>
      <c r="X408" s="449" t="str">
        <f t="shared" si="42"/>
        <v/>
      </c>
      <c r="Y408" s="449" t="str">
        <f t="shared" si="43"/>
        <v/>
      </c>
      <c r="Z408" s="449" t="str">
        <f t="shared" si="44"/>
        <v/>
      </c>
    </row>
    <row r="409" spans="21:26" x14ac:dyDescent="0.25">
      <c r="U409" s="449" t="str">
        <f t="shared" si="39"/>
        <v/>
      </c>
      <c r="V409" s="449" t="str">
        <f t="shared" si="40"/>
        <v/>
      </c>
      <c r="W409" s="449" t="str">
        <f t="shared" si="41"/>
        <v/>
      </c>
      <c r="X409" s="449" t="str">
        <f t="shared" si="42"/>
        <v/>
      </c>
      <c r="Y409" s="449" t="str">
        <f t="shared" si="43"/>
        <v/>
      </c>
      <c r="Z409" s="449" t="str">
        <f t="shared" si="44"/>
        <v/>
      </c>
    </row>
    <row r="410" spans="21:26" x14ac:dyDescent="0.25">
      <c r="U410" s="449" t="str">
        <f t="shared" si="39"/>
        <v/>
      </c>
      <c r="V410" s="449" t="str">
        <f t="shared" si="40"/>
        <v/>
      </c>
      <c r="W410" s="449" t="str">
        <f t="shared" si="41"/>
        <v/>
      </c>
      <c r="X410" s="449" t="str">
        <f t="shared" si="42"/>
        <v/>
      </c>
      <c r="Y410" s="449" t="str">
        <f t="shared" si="43"/>
        <v/>
      </c>
      <c r="Z410" s="449" t="str">
        <f t="shared" si="44"/>
        <v/>
      </c>
    </row>
    <row r="411" spans="21:26" x14ac:dyDescent="0.25">
      <c r="U411" s="449" t="str">
        <f t="shared" si="39"/>
        <v/>
      </c>
      <c r="V411" s="449" t="str">
        <f t="shared" si="40"/>
        <v/>
      </c>
      <c r="W411" s="449" t="str">
        <f t="shared" si="41"/>
        <v/>
      </c>
      <c r="X411" s="449" t="str">
        <f t="shared" si="42"/>
        <v/>
      </c>
      <c r="Y411" s="449" t="str">
        <f t="shared" si="43"/>
        <v/>
      </c>
      <c r="Z411" s="449" t="str">
        <f t="shared" si="44"/>
        <v/>
      </c>
    </row>
    <row r="412" spans="21:26" x14ac:dyDescent="0.25">
      <c r="U412" s="449" t="str">
        <f t="shared" si="39"/>
        <v/>
      </c>
      <c r="V412" s="449" t="str">
        <f t="shared" si="40"/>
        <v/>
      </c>
      <c r="W412" s="449" t="str">
        <f t="shared" si="41"/>
        <v/>
      </c>
      <c r="X412" s="449" t="str">
        <f t="shared" si="42"/>
        <v/>
      </c>
      <c r="Y412" s="449" t="str">
        <f t="shared" si="43"/>
        <v/>
      </c>
      <c r="Z412" s="449" t="str">
        <f t="shared" si="44"/>
        <v/>
      </c>
    </row>
    <row r="413" spans="21:26" x14ac:dyDescent="0.25">
      <c r="U413" s="449" t="str">
        <f t="shared" si="39"/>
        <v/>
      </c>
      <c r="V413" s="449" t="str">
        <f t="shared" si="40"/>
        <v/>
      </c>
      <c r="W413" s="449" t="str">
        <f t="shared" si="41"/>
        <v/>
      </c>
      <c r="X413" s="449" t="str">
        <f t="shared" si="42"/>
        <v/>
      </c>
      <c r="Y413" s="449" t="str">
        <f t="shared" si="43"/>
        <v/>
      </c>
      <c r="Z413" s="449" t="str">
        <f t="shared" si="44"/>
        <v/>
      </c>
    </row>
    <row r="414" spans="21:26" x14ac:dyDescent="0.25">
      <c r="U414" s="449" t="str">
        <f t="shared" si="39"/>
        <v/>
      </c>
      <c r="V414" s="449" t="str">
        <f t="shared" si="40"/>
        <v/>
      </c>
      <c r="W414" s="449" t="str">
        <f t="shared" si="41"/>
        <v/>
      </c>
      <c r="X414" s="449" t="str">
        <f t="shared" si="42"/>
        <v/>
      </c>
      <c r="Y414" s="449" t="str">
        <f t="shared" si="43"/>
        <v/>
      </c>
      <c r="Z414" s="449" t="str">
        <f t="shared" si="44"/>
        <v/>
      </c>
    </row>
    <row r="415" spans="21:26" x14ac:dyDescent="0.25">
      <c r="U415" s="449" t="str">
        <f t="shared" si="39"/>
        <v/>
      </c>
      <c r="V415" s="449" t="str">
        <f t="shared" si="40"/>
        <v/>
      </c>
      <c r="W415" s="449" t="str">
        <f t="shared" si="41"/>
        <v/>
      </c>
      <c r="X415" s="449" t="str">
        <f t="shared" si="42"/>
        <v/>
      </c>
      <c r="Y415" s="449" t="str">
        <f t="shared" si="43"/>
        <v/>
      </c>
      <c r="Z415" s="449" t="str">
        <f t="shared" si="44"/>
        <v/>
      </c>
    </row>
    <row r="416" spans="21:26" x14ac:dyDescent="0.25">
      <c r="U416" s="449" t="str">
        <f t="shared" si="39"/>
        <v/>
      </c>
      <c r="V416" s="449" t="str">
        <f t="shared" si="40"/>
        <v/>
      </c>
      <c r="W416" s="449" t="str">
        <f t="shared" si="41"/>
        <v/>
      </c>
      <c r="X416" s="449" t="str">
        <f t="shared" si="42"/>
        <v/>
      </c>
      <c r="Y416" s="449" t="str">
        <f t="shared" si="43"/>
        <v/>
      </c>
      <c r="Z416" s="449" t="str">
        <f t="shared" si="44"/>
        <v/>
      </c>
    </row>
    <row r="417" spans="21:26" x14ac:dyDescent="0.25">
      <c r="U417" s="449" t="str">
        <f t="shared" si="39"/>
        <v/>
      </c>
      <c r="V417" s="449" t="str">
        <f t="shared" si="40"/>
        <v/>
      </c>
      <c r="W417" s="449" t="str">
        <f t="shared" si="41"/>
        <v/>
      </c>
      <c r="X417" s="449" t="str">
        <f t="shared" si="42"/>
        <v/>
      </c>
      <c r="Y417" s="449" t="str">
        <f t="shared" si="43"/>
        <v/>
      </c>
      <c r="Z417" s="449" t="str">
        <f t="shared" si="44"/>
        <v/>
      </c>
    </row>
    <row r="418" spans="21:26" x14ac:dyDescent="0.25">
      <c r="U418" s="449" t="str">
        <f t="shared" si="39"/>
        <v/>
      </c>
      <c r="V418" s="449" t="str">
        <f t="shared" si="40"/>
        <v/>
      </c>
      <c r="W418" s="449" t="str">
        <f t="shared" si="41"/>
        <v/>
      </c>
      <c r="X418" s="449" t="str">
        <f t="shared" si="42"/>
        <v/>
      </c>
      <c r="Y418" s="449" t="str">
        <f t="shared" si="43"/>
        <v/>
      </c>
      <c r="Z418" s="449" t="str">
        <f t="shared" si="44"/>
        <v/>
      </c>
    </row>
    <row r="419" spans="21:26" x14ac:dyDescent="0.25">
      <c r="U419" s="449" t="str">
        <f t="shared" si="39"/>
        <v/>
      </c>
      <c r="V419" s="449" t="str">
        <f t="shared" si="40"/>
        <v/>
      </c>
      <c r="W419" s="449" t="str">
        <f t="shared" si="41"/>
        <v/>
      </c>
      <c r="X419" s="449" t="str">
        <f t="shared" si="42"/>
        <v/>
      </c>
      <c r="Y419" s="449" t="str">
        <f t="shared" si="43"/>
        <v/>
      </c>
      <c r="Z419" s="449" t="str">
        <f t="shared" si="44"/>
        <v/>
      </c>
    </row>
    <row r="420" spans="21:26" x14ac:dyDescent="0.25">
      <c r="U420" s="449" t="str">
        <f t="shared" si="39"/>
        <v/>
      </c>
      <c r="V420" s="449" t="str">
        <f t="shared" si="40"/>
        <v/>
      </c>
      <c r="W420" s="449" t="str">
        <f t="shared" si="41"/>
        <v/>
      </c>
      <c r="X420" s="449" t="str">
        <f t="shared" si="42"/>
        <v/>
      </c>
      <c r="Y420" s="449" t="str">
        <f t="shared" si="43"/>
        <v/>
      </c>
      <c r="Z420" s="449" t="str">
        <f t="shared" si="44"/>
        <v/>
      </c>
    </row>
    <row r="421" spans="21:26" x14ac:dyDescent="0.25">
      <c r="U421" s="449" t="str">
        <f t="shared" si="39"/>
        <v/>
      </c>
      <c r="V421" s="449" t="str">
        <f t="shared" si="40"/>
        <v/>
      </c>
      <c r="W421" s="449" t="str">
        <f t="shared" si="41"/>
        <v/>
      </c>
      <c r="X421" s="449" t="str">
        <f t="shared" si="42"/>
        <v/>
      </c>
      <c r="Y421" s="449" t="str">
        <f t="shared" si="43"/>
        <v/>
      </c>
      <c r="Z421" s="449" t="str">
        <f t="shared" si="44"/>
        <v/>
      </c>
    </row>
    <row r="422" spans="21:26" x14ac:dyDescent="0.25">
      <c r="U422" s="449" t="str">
        <f t="shared" si="39"/>
        <v/>
      </c>
      <c r="V422" s="449" t="str">
        <f t="shared" si="40"/>
        <v/>
      </c>
      <c r="W422" s="449" t="str">
        <f t="shared" si="41"/>
        <v/>
      </c>
      <c r="X422" s="449" t="str">
        <f t="shared" si="42"/>
        <v/>
      </c>
      <c r="Y422" s="449" t="str">
        <f t="shared" si="43"/>
        <v/>
      </c>
      <c r="Z422" s="449" t="str">
        <f t="shared" si="44"/>
        <v/>
      </c>
    </row>
    <row r="423" spans="21:26" x14ac:dyDescent="0.25">
      <c r="U423" s="449" t="str">
        <f t="shared" si="39"/>
        <v/>
      </c>
      <c r="V423" s="449" t="str">
        <f t="shared" si="40"/>
        <v/>
      </c>
      <c r="W423" s="449" t="str">
        <f t="shared" si="41"/>
        <v/>
      </c>
      <c r="X423" s="449" t="str">
        <f t="shared" si="42"/>
        <v/>
      </c>
      <c r="Y423" s="449" t="str">
        <f t="shared" si="43"/>
        <v/>
      </c>
      <c r="Z423" s="449" t="str">
        <f t="shared" si="44"/>
        <v/>
      </c>
    </row>
    <row r="424" spans="21:26" x14ac:dyDescent="0.25">
      <c r="U424" s="449" t="str">
        <f t="shared" si="39"/>
        <v/>
      </c>
      <c r="V424" s="449" t="str">
        <f t="shared" si="40"/>
        <v/>
      </c>
      <c r="W424" s="449" t="str">
        <f t="shared" si="41"/>
        <v/>
      </c>
      <c r="X424" s="449" t="str">
        <f t="shared" si="42"/>
        <v/>
      </c>
      <c r="Y424" s="449" t="str">
        <f t="shared" si="43"/>
        <v/>
      </c>
      <c r="Z424" s="449" t="str">
        <f t="shared" si="44"/>
        <v/>
      </c>
    </row>
    <row r="425" spans="21:26" x14ac:dyDescent="0.25">
      <c r="U425" s="449" t="str">
        <f t="shared" si="39"/>
        <v/>
      </c>
      <c r="V425" s="449" t="str">
        <f t="shared" si="40"/>
        <v/>
      </c>
      <c r="W425" s="449" t="str">
        <f t="shared" si="41"/>
        <v/>
      </c>
      <c r="X425" s="449" t="str">
        <f t="shared" si="42"/>
        <v/>
      </c>
      <c r="Y425" s="449" t="str">
        <f t="shared" si="43"/>
        <v/>
      </c>
      <c r="Z425" s="449" t="str">
        <f t="shared" si="44"/>
        <v/>
      </c>
    </row>
    <row r="426" spans="21:26" x14ac:dyDescent="0.25">
      <c r="U426" s="449" t="str">
        <f t="shared" si="39"/>
        <v/>
      </c>
      <c r="V426" s="449" t="str">
        <f t="shared" si="40"/>
        <v/>
      </c>
      <c r="W426" s="449" t="str">
        <f t="shared" si="41"/>
        <v/>
      </c>
      <c r="X426" s="449" t="str">
        <f t="shared" si="42"/>
        <v/>
      </c>
      <c r="Y426" s="449" t="str">
        <f t="shared" si="43"/>
        <v/>
      </c>
      <c r="Z426" s="449" t="str">
        <f t="shared" si="44"/>
        <v/>
      </c>
    </row>
    <row r="427" spans="21:26" x14ac:dyDescent="0.25">
      <c r="U427" s="449" t="str">
        <f t="shared" si="39"/>
        <v/>
      </c>
      <c r="V427" s="449" t="str">
        <f t="shared" si="40"/>
        <v/>
      </c>
      <c r="W427" s="449" t="str">
        <f t="shared" si="41"/>
        <v/>
      </c>
      <c r="X427" s="449" t="str">
        <f t="shared" si="42"/>
        <v/>
      </c>
      <c r="Y427" s="449" t="str">
        <f t="shared" si="43"/>
        <v/>
      </c>
      <c r="Z427" s="449" t="str">
        <f t="shared" si="44"/>
        <v/>
      </c>
    </row>
    <row r="428" spans="21:26" x14ac:dyDescent="0.25">
      <c r="U428" s="449" t="str">
        <f t="shared" si="39"/>
        <v/>
      </c>
      <c r="V428" s="449" t="str">
        <f t="shared" si="40"/>
        <v/>
      </c>
      <c r="W428" s="449" t="str">
        <f t="shared" si="41"/>
        <v/>
      </c>
      <c r="X428" s="449" t="str">
        <f t="shared" si="42"/>
        <v/>
      </c>
      <c r="Y428" s="449" t="str">
        <f t="shared" si="43"/>
        <v/>
      </c>
      <c r="Z428" s="449" t="str">
        <f t="shared" si="44"/>
        <v/>
      </c>
    </row>
    <row r="429" spans="21:26" x14ac:dyDescent="0.25">
      <c r="U429" s="449" t="str">
        <f t="shared" si="39"/>
        <v/>
      </c>
      <c r="V429" s="449" t="str">
        <f t="shared" si="40"/>
        <v/>
      </c>
      <c r="W429" s="449" t="str">
        <f t="shared" si="41"/>
        <v/>
      </c>
      <c r="X429" s="449" t="str">
        <f t="shared" si="42"/>
        <v/>
      </c>
      <c r="Y429" s="449" t="str">
        <f t="shared" si="43"/>
        <v/>
      </c>
      <c r="Z429" s="449" t="str">
        <f t="shared" si="44"/>
        <v/>
      </c>
    </row>
    <row r="430" spans="21:26" x14ac:dyDescent="0.25">
      <c r="U430" s="449" t="str">
        <f t="shared" si="39"/>
        <v/>
      </c>
      <c r="V430" s="449" t="str">
        <f t="shared" si="40"/>
        <v/>
      </c>
      <c r="W430" s="449" t="str">
        <f t="shared" si="41"/>
        <v/>
      </c>
      <c r="X430" s="449" t="str">
        <f t="shared" si="42"/>
        <v/>
      </c>
      <c r="Y430" s="449" t="str">
        <f t="shared" si="43"/>
        <v/>
      </c>
      <c r="Z430" s="449" t="str">
        <f t="shared" si="44"/>
        <v/>
      </c>
    </row>
    <row r="431" spans="21:26" x14ac:dyDescent="0.25">
      <c r="U431" s="449" t="str">
        <f t="shared" si="39"/>
        <v/>
      </c>
      <c r="V431" s="449" t="str">
        <f t="shared" si="40"/>
        <v/>
      </c>
      <c r="W431" s="449" t="str">
        <f t="shared" si="41"/>
        <v/>
      </c>
      <c r="X431" s="449" t="str">
        <f t="shared" si="42"/>
        <v/>
      </c>
      <c r="Y431" s="449" t="str">
        <f t="shared" si="43"/>
        <v/>
      </c>
      <c r="Z431" s="449" t="str">
        <f t="shared" si="44"/>
        <v/>
      </c>
    </row>
    <row r="432" spans="21:26" x14ac:dyDescent="0.25">
      <c r="U432" s="449" t="str">
        <f t="shared" si="39"/>
        <v/>
      </c>
      <c r="V432" s="449" t="str">
        <f t="shared" si="40"/>
        <v/>
      </c>
      <c r="W432" s="449" t="str">
        <f t="shared" si="41"/>
        <v/>
      </c>
      <c r="X432" s="449" t="str">
        <f t="shared" si="42"/>
        <v/>
      </c>
      <c r="Y432" s="449" t="str">
        <f t="shared" si="43"/>
        <v/>
      </c>
      <c r="Z432" s="449" t="str">
        <f t="shared" si="44"/>
        <v/>
      </c>
    </row>
    <row r="433" spans="21:26" x14ac:dyDescent="0.25">
      <c r="U433" s="449" t="str">
        <f t="shared" si="39"/>
        <v/>
      </c>
      <c r="V433" s="449" t="str">
        <f t="shared" si="40"/>
        <v/>
      </c>
      <c r="W433" s="449" t="str">
        <f t="shared" si="41"/>
        <v/>
      </c>
      <c r="X433" s="449" t="str">
        <f t="shared" si="42"/>
        <v/>
      </c>
      <c r="Y433" s="449" t="str">
        <f t="shared" si="43"/>
        <v/>
      </c>
      <c r="Z433" s="449" t="str">
        <f t="shared" si="44"/>
        <v/>
      </c>
    </row>
    <row r="434" spans="21:26" x14ac:dyDescent="0.25">
      <c r="U434" s="449" t="str">
        <f t="shared" si="39"/>
        <v/>
      </c>
      <c r="V434" s="449" t="str">
        <f t="shared" si="40"/>
        <v/>
      </c>
      <c r="W434" s="449" t="str">
        <f t="shared" si="41"/>
        <v/>
      </c>
      <c r="X434" s="449" t="str">
        <f t="shared" si="42"/>
        <v/>
      </c>
      <c r="Y434" s="449" t="str">
        <f t="shared" si="43"/>
        <v/>
      </c>
      <c r="Z434" s="449" t="str">
        <f t="shared" si="44"/>
        <v/>
      </c>
    </row>
    <row r="435" spans="21:26" x14ac:dyDescent="0.25">
      <c r="U435" s="449" t="str">
        <f t="shared" si="39"/>
        <v/>
      </c>
      <c r="V435" s="449" t="str">
        <f t="shared" si="40"/>
        <v/>
      </c>
      <c r="W435" s="449" t="str">
        <f t="shared" si="41"/>
        <v/>
      </c>
      <c r="X435" s="449" t="str">
        <f t="shared" si="42"/>
        <v/>
      </c>
      <c r="Y435" s="449" t="str">
        <f t="shared" si="43"/>
        <v/>
      </c>
      <c r="Z435" s="449" t="str">
        <f t="shared" si="44"/>
        <v/>
      </c>
    </row>
    <row r="436" spans="21:26" x14ac:dyDescent="0.25">
      <c r="U436" s="449" t="str">
        <f t="shared" si="39"/>
        <v/>
      </c>
      <c r="V436" s="449" t="str">
        <f t="shared" si="40"/>
        <v/>
      </c>
      <c r="W436" s="449" t="str">
        <f t="shared" si="41"/>
        <v/>
      </c>
      <c r="X436" s="449" t="str">
        <f t="shared" si="42"/>
        <v/>
      </c>
      <c r="Y436" s="449" t="str">
        <f t="shared" si="43"/>
        <v/>
      </c>
      <c r="Z436" s="449" t="str">
        <f t="shared" si="44"/>
        <v/>
      </c>
    </row>
    <row r="437" spans="21:26" x14ac:dyDescent="0.25">
      <c r="U437" s="449" t="str">
        <f t="shared" si="39"/>
        <v/>
      </c>
      <c r="V437" s="449" t="str">
        <f t="shared" si="40"/>
        <v/>
      </c>
      <c r="W437" s="449" t="str">
        <f t="shared" si="41"/>
        <v/>
      </c>
      <c r="X437" s="449" t="str">
        <f t="shared" si="42"/>
        <v/>
      </c>
      <c r="Y437" s="449" t="str">
        <f t="shared" si="43"/>
        <v/>
      </c>
      <c r="Z437" s="449" t="str">
        <f t="shared" si="44"/>
        <v/>
      </c>
    </row>
    <row r="438" spans="21:26" x14ac:dyDescent="0.25">
      <c r="U438" s="449" t="str">
        <f t="shared" si="39"/>
        <v/>
      </c>
      <c r="V438" s="449" t="str">
        <f t="shared" si="40"/>
        <v/>
      </c>
      <c r="W438" s="449" t="str">
        <f t="shared" si="41"/>
        <v/>
      </c>
      <c r="X438" s="449" t="str">
        <f t="shared" si="42"/>
        <v/>
      </c>
      <c r="Y438" s="449" t="str">
        <f t="shared" si="43"/>
        <v/>
      </c>
      <c r="Z438" s="449" t="str">
        <f t="shared" si="44"/>
        <v/>
      </c>
    </row>
    <row r="439" spans="21:26" x14ac:dyDescent="0.25">
      <c r="U439" s="449" t="str">
        <f t="shared" si="39"/>
        <v/>
      </c>
      <c r="V439" s="449" t="str">
        <f t="shared" si="40"/>
        <v/>
      </c>
      <c r="W439" s="449" t="str">
        <f t="shared" si="41"/>
        <v/>
      </c>
      <c r="X439" s="449" t="str">
        <f t="shared" si="42"/>
        <v/>
      </c>
      <c r="Y439" s="449" t="str">
        <f t="shared" si="43"/>
        <v/>
      </c>
      <c r="Z439" s="449" t="str">
        <f t="shared" si="44"/>
        <v/>
      </c>
    </row>
    <row r="440" spans="21:26" x14ac:dyDescent="0.25">
      <c r="U440" s="449" t="str">
        <f t="shared" si="39"/>
        <v/>
      </c>
      <c r="V440" s="449" t="str">
        <f t="shared" si="40"/>
        <v/>
      </c>
      <c r="W440" s="449" t="str">
        <f t="shared" si="41"/>
        <v/>
      </c>
      <c r="X440" s="449" t="str">
        <f t="shared" si="42"/>
        <v/>
      </c>
      <c r="Y440" s="449" t="str">
        <f t="shared" si="43"/>
        <v/>
      </c>
      <c r="Z440" s="449" t="str">
        <f t="shared" si="44"/>
        <v/>
      </c>
    </row>
    <row r="441" spans="21:26" x14ac:dyDescent="0.25">
      <c r="U441" s="449" t="str">
        <f t="shared" si="39"/>
        <v/>
      </c>
      <c r="V441" s="449" t="str">
        <f t="shared" si="40"/>
        <v/>
      </c>
      <c r="W441" s="449" t="str">
        <f t="shared" si="41"/>
        <v/>
      </c>
      <c r="X441" s="449" t="str">
        <f t="shared" si="42"/>
        <v/>
      </c>
      <c r="Y441" s="449" t="str">
        <f t="shared" si="43"/>
        <v/>
      </c>
      <c r="Z441" s="449" t="str">
        <f t="shared" si="44"/>
        <v/>
      </c>
    </row>
    <row r="442" spans="21:26" x14ac:dyDescent="0.25">
      <c r="U442" s="449" t="str">
        <f t="shared" si="39"/>
        <v/>
      </c>
      <c r="V442" s="449" t="str">
        <f t="shared" si="40"/>
        <v/>
      </c>
      <c r="W442" s="449" t="str">
        <f t="shared" si="41"/>
        <v/>
      </c>
      <c r="X442" s="449" t="str">
        <f t="shared" si="42"/>
        <v/>
      </c>
      <c r="Y442" s="449" t="str">
        <f t="shared" si="43"/>
        <v/>
      </c>
      <c r="Z442" s="449" t="str">
        <f t="shared" si="44"/>
        <v/>
      </c>
    </row>
    <row r="443" spans="21:26" x14ac:dyDescent="0.25">
      <c r="U443" s="449" t="str">
        <f t="shared" si="39"/>
        <v/>
      </c>
      <c r="V443" s="449" t="str">
        <f t="shared" si="40"/>
        <v/>
      </c>
      <c r="W443" s="449" t="str">
        <f t="shared" si="41"/>
        <v/>
      </c>
      <c r="X443" s="449" t="str">
        <f t="shared" si="42"/>
        <v/>
      </c>
      <c r="Y443" s="449" t="str">
        <f t="shared" si="43"/>
        <v/>
      </c>
      <c r="Z443" s="449" t="str">
        <f t="shared" si="44"/>
        <v/>
      </c>
    </row>
    <row r="444" spans="21:26" x14ac:dyDescent="0.25">
      <c r="U444" s="449" t="str">
        <f t="shared" si="39"/>
        <v/>
      </c>
      <c r="V444" s="449" t="str">
        <f t="shared" si="40"/>
        <v/>
      </c>
      <c r="W444" s="449" t="str">
        <f t="shared" si="41"/>
        <v/>
      </c>
      <c r="X444" s="449" t="str">
        <f t="shared" si="42"/>
        <v/>
      </c>
      <c r="Y444" s="449" t="str">
        <f t="shared" si="43"/>
        <v/>
      </c>
      <c r="Z444" s="449" t="str">
        <f t="shared" si="44"/>
        <v/>
      </c>
    </row>
    <row r="445" spans="21:26" x14ac:dyDescent="0.25">
      <c r="U445" s="449" t="str">
        <f t="shared" si="39"/>
        <v/>
      </c>
      <c r="V445" s="449" t="str">
        <f t="shared" si="40"/>
        <v/>
      </c>
      <c r="W445" s="449" t="str">
        <f t="shared" si="41"/>
        <v/>
      </c>
      <c r="X445" s="449" t="str">
        <f t="shared" si="42"/>
        <v/>
      </c>
      <c r="Y445" s="449" t="str">
        <f t="shared" si="43"/>
        <v/>
      </c>
      <c r="Z445" s="449" t="str">
        <f t="shared" si="44"/>
        <v/>
      </c>
    </row>
    <row r="446" spans="21:26" x14ac:dyDescent="0.25">
      <c r="U446" s="449" t="str">
        <f t="shared" si="39"/>
        <v/>
      </c>
      <c r="V446" s="449" t="str">
        <f t="shared" si="40"/>
        <v/>
      </c>
      <c r="W446" s="449" t="str">
        <f t="shared" si="41"/>
        <v/>
      </c>
      <c r="X446" s="449" t="str">
        <f t="shared" si="42"/>
        <v/>
      </c>
      <c r="Y446" s="449" t="str">
        <f t="shared" si="43"/>
        <v/>
      </c>
      <c r="Z446" s="449" t="str">
        <f t="shared" si="44"/>
        <v/>
      </c>
    </row>
    <row r="447" spans="21:26" x14ac:dyDescent="0.25">
      <c r="U447" s="449" t="str">
        <f t="shared" si="39"/>
        <v/>
      </c>
      <c r="V447" s="449" t="str">
        <f t="shared" si="40"/>
        <v/>
      </c>
      <c r="W447" s="449" t="str">
        <f t="shared" si="41"/>
        <v/>
      </c>
      <c r="X447" s="449" t="str">
        <f t="shared" si="42"/>
        <v/>
      </c>
      <c r="Y447" s="449" t="str">
        <f t="shared" si="43"/>
        <v/>
      </c>
      <c r="Z447" s="449" t="str">
        <f t="shared" si="44"/>
        <v/>
      </c>
    </row>
    <row r="448" spans="21:26" x14ac:dyDescent="0.25">
      <c r="U448" s="449" t="str">
        <f t="shared" si="39"/>
        <v/>
      </c>
      <c r="V448" s="449" t="str">
        <f t="shared" si="40"/>
        <v/>
      </c>
      <c r="W448" s="449" t="str">
        <f t="shared" si="41"/>
        <v/>
      </c>
      <c r="X448" s="449" t="str">
        <f t="shared" si="42"/>
        <v/>
      </c>
      <c r="Y448" s="449" t="str">
        <f t="shared" si="43"/>
        <v/>
      </c>
      <c r="Z448" s="449" t="str">
        <f t="shared" si="44"/>
        <v/>
      </c>
    </row>
    <row r="449" spans="21:26" x14ac:dyDescent="0.25">
      <c r="U449" s="449" t="str">
        <f t="shared" si="39"/>
        <v/>
      </c>
      <c r="V449" s="449" t="str">
        <f t="shared" si="40"/>
        <v/>
      </c>
      <c r="W449" s="449" t="str">
        <f t="shared" si="41"/>
        <v/>
      </c>
      <c r="X449" s="449" t="str">
        <f t="shared" si="42"/>
        <v/>
      </c>
      <c r="Y449" s="449" t="str">
        <f t="shared" si="43"/>
        <v/>
      </c>
      <c r="Z449" s="449" t="str">
        <f t="shared" si="44"/>
        <v/>
      </c>
    </row>
    <row r="450" spans="21:26" x14ac:dyDescent="0.25">
      <c r="U450" s="449" t="str">
        <f t="shared" si="39"/>
        <v/>
      </c>
      <c r="V450" s="449" t="str">
        <f t="shared" si="40"/>
        <v/>
      </c>
      <c r="W450" s="449" t="str">
        <f t="shared" si="41"/>
        <v/>
      </c>
      <c r="X450" s="449" t="str">
        <f t="shared" si="42"/>
        <v/>
      </c>
      <c r="Y450" s="449" t="str">
        <f t="shared" si="43"/>
        <v/>
      </c>
      <c r="Z450" s="449" t="str">
        <f t="shared" si="44"/>
        <v/>
      </c>
    </row>
    <row r="451" spans="21:26" x14ac:dyDescent="0.25">
      <c r="U451" s="449" t="str">
        <f t="shared" si="39"/>
        <v/>
      </c>
      <c r="V451" s="449" t="str">
        <f t="shared" si="40"/>
        <v/>
      </c>
      <c r="W451" s="449" t="str">
        <f t="shared" si="41"/>
        <v/>
      </c>
      <c r="X451" s="449" t="str">
        <f t="shared" si="42"/>
        <v/>
      </c>
      <c r="Y451" s="449" t="str">
        <f t="shared" si="43"/>
        <v/>
      </c>
      <c r="Z451" s="449" t="str">
        <f t="shared" si="44"/>
        <v/>
      </c>
    </row>
    <row r="452" spans="21:26" x14ac:dyDescent="0.25">
      <c r="U452" s="449" t="str">
        <f t="shared" ref="U452:U500" si="45">IF(AB452="","",LEFT(W452,2)&amp;"00")</f>
        <v/>
      </c>
      <c r="V452" s="449" t="str">
        <f t="shared" ref="V452:V500" si="46">IF(W452="","",IF(AND(W452&gt;"1109",W452&lt;"1172"),"1",IF(OR(W452="3111",W452="3113",W452="3117",W452="3204",W452="3214",W452="3216",W452="3373",W452="3376",W452="3803"),"1",IF(LEFT(W452,1)="1",IF(OR(LEFT(W452,2)="10",LEFT(W452,2)="12",LEFT(W452,2)="16",LEFT(W452,2)="18",LEFT(W452,2)="19"),"19",LEFT(W452,2)),LEFT(W452,1)&amp;"000"))))</f>
        <v/>
      </c>
      <c r="W452" s="449" t="str">
        <f t="shared" ref="W452:W500" si="47">LEFT(AB452,4)</f>
        <v/>
      </c>
      <c r="X452" s="449" t="str">
        <f t="shared" si="42"/>
        <v/>
      </c>
      <c r="Y452" s="449" t="str">
        <f t="shared" si="43"/>
        <v/>
      </c>
      <c r="Z452" s="449" t="str">
        <f t="shared" si="44"/>
        <v/>
      </c>
    </row>
    <row r="453" spans="21:26" x14ac:dyDescent="0.25">
      <c r="U453" s="449" t="str">
        <f t="shared" si="45"/>
        <v/>
      </c>
      <c r="V453" s="449" t="str">
        <f t="shared" si="46"/>
        <v/>
      </c>
      <c r="W453" s="449" t="str">
        <f t="shared" si="47"/>
        <v/>
      </c>
      <c r="X453" s="449" t="str">
        <f t="shared" si="42"/>
        <v/>
      </c>
      <c r="Y453" s="449" t="str">
        <f t="shared" si="43"/>
        <v/>
      </c>
      <c r="Z453" s="449" t="str">
        <f t="shared" si="44"/>
        <v/>
      </c>
    </row>
    <row r="454" spans="21:26" x14ac:dyDescent="0.25">
      <c r="U454" s="449" t="str">
        <f t="shared" si="45"/>
        <v/>
      </c>
      <c r="V454" s="449" t="str">
        <f t="shared" si="46"/>
        <v/>
      </c>
      <c r="W454" s="449" t="str">
        <f t="shared" si="47"/>
        <v/>
      </c>
      <c r="X454" s="449" t="str">
        <f t="shared" si="42"/>
        <v/>
      </c>
      <c r="Y454" s="449" t="str">
        <f t="shared" si="43"/>
        <v/>
      </c>
      <c r="Z454" s="449" t="str">
        <f t="shared" si="44"/>
        <v/>
      </c>
    </row>
    <row r="455" spans="21:26" x14ac:dyDescent="0.25">
      <c r="U455" s="449" t="str">
        <f t="shared" si="45"/>
        <v/>
      </c>
      <c r="V455" s="449" t="str">
        <f t="shared" si="46"/>
        <v/>
      </c>
      <c r="W455" s="449" t="str">
        <f t="shared" si="47"/>
        <v/>
      </c>
      <c r="X455" s="449" t="str">
        <f t="shared" si="42"/>
        <v/>
      </c>
      <c r="Y455" s="449" t="str">
        <f t="shared" si="43"/>
        <v/>
      </c>
      <c r="Z455" s="449" t="str">
        <f t="shared" si="44"/>
        <v/>
      </c>
    </row>
    <row r="456" spans="21:26" x14ac:dyDescent="0.25">
      <c r="U456" s="449" t="str">
        <f t="shared" si="45"/>
        <v/>
      </c>
      <c r="V456" s="449" t="str">
        <f t="shared" si="46"/>
        <v/>
      </c>
      <c r="W456" s="449" t="str">
        <f t="shared" si="47"/>
        <v/>
      </c>
      <c r="X456" s="449" t="str">
        <f t="shared" si="42"/>
        <v/>
      </c>
      <c r="Y456" s="449" t="str">
        <f t="shared" si="43"/>
        <v/>
      </c>
      <c r="Z456" s="449" t="str">
        <f t="shared" si="44"/>
        <v/>
      </c>
    </row>
    <row r="457" spans="21:26" x14ac:dyDescent="0.25">
      <c r="U457" s="449" t="str">
        <f t="shared" si="45"/>
        <v/>
      </c>
      <c r="V457" s="449" t="str">
        <f t="shared" si="46"/>
        <v/>
      </c>
      <c r="W457" s="449" t="str">
        <f t="shared" si="47"/>
        <v/>
      </c>
      <c r="X457" s="449" t="str">
        <f t="shared" ref="X457:X500" si="48">IF(Z457="","",IF(OR(Z457="21",Z457="22",Z457="36",Z457="61",Z457="24"),Z457,LEFT(Z457,1)&amp;"0"))</f>
        <v/>
      </c>
      <c r="Y457" s="449" t="str">
        <f t="shared" ref="Y457:Y500" si="49">IF(AB457="","",IF(OR(LEFT(AB457,1)="1",LEFT(AB457,1)="2",LEFT(AB457,1)="3",LEFT(AB457,1)="4"),LEFT(AB457,1)&amp;"000","9000"))</f>
        <v/>
      </c>
      <c r="Z457" s="449" t="str">
        <f t="shared" ref="Z457:Z500" si="50">LEFT(AA457,2)</f>
        <v/>
      </c>
    </row>
    <row r="458" spans="21:26" x14ac:dyDescent="0.25">
      <c r="U458" s="449" t="str">
        <f t="shared" si="45"/>
        <v/>
      </c>
      <c r="V458" s="449" t="str">
        <f t="shared" si="46"/>
        <v/>
      </c>
      <c r="W458" s="449" t="str">
        <f t="shared" si="47"/>
        <v/>
      </c>
      <c r="X458" s="449" t="str">
        <f t="shared" si="48"/>
        <v/>
      </c>
      <c r="Y458" s="449" t="str">
        <f t="shared" si="49"/>
        <v/>
      </c>
      <c r="Z458" s="449" t="str">
        <f t="shared" si="50"/>
        <v/>
      </c>
    </row>
    <row r="459" spans="21:26" x14ac:dyDescent="0.25">
      <c r="U459" s="449" t="str">
        <f t="shared" si="45"/>
        <v/>
      </c>
      <c r="V459" s="449" t="str">
        <f t="shared" si="46"/>
        <v/>
      </c>
      <c r="W459" s="449" t="str">
        <f t="shared" si="47"/>
        <v/>
      </c>
      <c r="X459" s="449" t="str">
        <f t="shared" si="48"/>
        <v/>
      </c>
      <c r="Y459" s="449" t="str">
        <f t="shared" si="49"/>
        <v/>
      </c>
      <c r="Z459" s="449" t="str">
        <f t="shared" si="50"/>
        <v/>
      </c>
    </row>
    <row r="460" spans="21:26" x14ac:dyDescent="0.25">
      <c r="U460" s="449" t="str">
        <f t="shared" si="45"/>
        <v/>
      </c>
      <c r="V460" s="449" t="str">
        <f t="shared" si="46"/>
        <v/>
      </c>
      <c r="W460" s="449" t="str">
        <f t="shared" si="47"/>
        <v/>
      </c>
      <c r="X460" s="449" t="str">
        <f t="shared" si="48"/>
        <v/>
      </c>
      <c r="Y460" s="449" t="str">
        <f t="shared" si="49"/>
        <v/>
      </c>
      <c r="Z460" s="449" t="str">
        <f t="shared" si="50"/>
        <v/>
      </c>
    </row>
    <row r="461" spans="21:26" x14ac:dyDescent="0.25">
      <c r="U461" s="449" t="str">
        <f t="shared" si="45"/>
        <v/>
      </c>
      <c r="V461" s="449" t="str">
        <f t="shared" si="46"/>
        <v/>
      </c>
      <c r="W461" s="449" t="str">
        <f t="shared" si="47"/>
        <v/>
      </c>
      <c r="X461" s="449" t="str">
        <f t="shared" si="48"/>
        <v/>
      </c>
      <c r="Y461" s="449" t="str">
        <f t="shared" si="49"/>
        <v/>
      </c>
      <c r="Z461" s="449" t="str">
        <f t="shared" si="50"/>
        <v/>
      </c>
    </row>
    <row r="462" spans="21:26" x14ac:dyDescent="0.25">
      <c r="U462" s="449" t="str">
        <f t="shared" si="45"/>
        <v/>
      </c>
      <c r="V462" s="449" t="str">
        <f t="shared" si="46"/>
        <v/>
      </c>
      <c r="W462" s="449" t="str">
        <f t="shared" si="47"/>
        <v/>
      </c>
      <c r="X462" s="449" t="str">
        <f t="shared" si="48"/>
        <v/>
      </c>
      <c r="Y462" s="449" t="str">
        <f t="shared" si="49"/>
        <v/>
      </c>
      <c r="Z462" s="449" t="str">
        <f t="shared" si="50"/>
        <v/>
      </c>
    </row>
    <row r="463" spans="21:26" x14ac:dyDescent="0.25">
      <c r="U463" s="449" t="str">
        <f t="shared" si="45"/>
        <v/>
      </c>
      <c r="V463" s="449" t="str">
        <f t="shared" si="46"/>
        <v/>
      </c>
      <c r="W463" s="449" t="str">
        <f t="shared" si="47"/>
        <v/>
      </c>
      <c r="X463" s="449" t="str">
        <f t="shared" si="48"/>
        <v/>
      </c>
      <c r="Y463" s="449" t="str">
        <f t="shared" si="49"/>
        <v/>
      </c>
      <c r="Z463" s="449" t="str">
        <f t="shared" si="50"/>
        <v/>
      </c>
    </row>
    <row r="464" spans="21:26" x14ac:dyDescent="0.25">
      <c r="U464" s="449" t="str">
        <f t="shared" si="45"/>
        <v/>
      </c>
      <c r="V464" s="449" t="str">
        <f t="shared" si="46"/>
        <v/>
      </c>
      <c r="W464" s="449" t="str">
        <f t="shared" si="47"/>
        <v/>
      </c>
      <c r="X464" s="449" t="str">
        <f t="shared" si="48"/>
        <v/>
      </c>
      <c r="Y464" s="449" t="str">
        <f t="shared" si="49"/>
        <v/>
      </c>
      <c r="Z464" s="449" t="str">
        <f t="shared" si="50"/>
        <v/>
      </c>
    </row>
    <row r="465" spans="21:26" x14ac:dyDescent="0.25">
      <c r="U465" s="449" t="str">
        <f t="shared" si="45"/>
        <v/>
      </c>
      <c r="V465" s="449" t="str">
        <f t="shared" si="46"/>
        <v/>
      </c>
      <c r="W465" s="449" t="str">
        <f t="shared" si="47"/>
        <v/>
      </c>
      <c r="X465" s="449" t="str">
        <f t="shared" si="48"/>
        <v/>
      </c>
      <c r="Y465" s="449" t="str">
        <f t="shared" si="49"/>
        <v/>
      </c>
      <c r="Z465" s="449" t="str">
        <f t="shared" si="50"/>
        <v/>
      </c>
    </row>
    <row r="466" spans="21:26" x14ac:dyDescent="0.25">
      <c r="U466" s="449" t="str">
        <f t="shared" si="45"/>
        <v/>
      </c>
      <c r="V466" s="449" t="str">
        <f t="shared" si="46"/>
        <v/>
      </c>
      <c r="W466" s="449" t="str">
        <f t="shared" si="47"/>
        <v/>
      </c>
      <c r="X466" s="449" t="str">
        <f t="shared" si="48"/>
        <v/>
      </c>
      <c r="Y466" s="449" t="str">
        <f t="shared" si="49"/>
        <v/>
      </c>
      <c r="Z466" s="449" t="str">
        <f t="shared" si="50"/>
        <v/>
      </c>
    </row>
    <row r="467" spans="21:26" x14ac:dyDescent="0.25">
      <c r="U467" s="449" t="str">
        <f t="shared" si="45"/>
        <v/>
      </c>
      <c r="V467" s="449" t="str">
        <f t="shared" si="46"/>
        <v/>
      </c>
      <c r="W467" s="449" t="str">
        <f t="shared" si="47"/>
        <v/>
      </c>
      <c r="X467" s="449" t="str">
        <f t="shared" si="48"/>
        <v/>
      </c>
      <c r="Y467" s="449" t="str">
        <f t="shared" si="49"/>
        <v/>
      </c>
      <c r="Z467" s="449" t="str">
        <f t="shared" si="50"/>
        <v/>
      </c>
    </row>
    <row r="468" spans="21:26" x14ac:dyDescent="0.25">
      <c r="U468" s="449" t="str">
        <f t="shared" si="45"/>
        <v/>
      </c>
      <c r="V468" s="449" t="str">
        <f t="shared" si="46"/>
        <v/>
      </c>
      <c r="W468" s="449" t="str">
        <f t="shared" si="47"/>
        <v/>
      </c>
      <c r="X468" s="449" t="str">
        <f t="shared" si="48"/>
        <v/>
      </c>
      <c r="Y468" s="449" t="str">
        <f t="shared" si="49"/>
        <v/>
      </c>
      <c r="Z468" s="449" t="str">
        <f t="shared" si="50"/>
        <v/>
      </c>
    </row>
    <row r="469" spans="21:26" x14ac:dyDescent="0.25">
      <c r="U469" s="449" t="str">
        <f t="shared" si="45"/>
        <v/>
      </c>
      <c r="V469" s="449" t="str">
        <f t="shared" si="46"/>
        <v/>
      </c>
      <c r="W469" s="449" t="str">
        <f t="shared" si="47"/>
        <v/>
      </c>
      <c r="X469" s="449" t="str">
        <f t="shared" si="48"/>
        <v/>
      </c>
      <c r="Y469" s="449" t="str">
        <f t="shared" si="49"/>
        <v/>
      </c>
      <c r="Z469" s="449" t="str">
        <f t="shared" si="50"/>
        <v/>
      </c>
    </row>
    <row r="470" spans="21:26" x14ac:dyDescent="0.25">
      <c r="U470" s="449" t="str">
        <f t="shared" si="45"/>
        <v/>
      </c>
      <c r="V470" s="449" t="str">
        <f t="shared" si="46"/>
        <v/>
      </c>
      <c r="W470" s="449" t="str">
        <f t="shared" si="47"/>
        <v/>
      </c>
      <c r="X470" s="449" t="str">
        <f t="shared" si="48"/>
        <v/>
      </c>
      <c r="Y470" s="449" t="str">
        <f t="shared" si="49"/>
        <v/>
      </c>
      <c r="Z470" s="449" t="str">
        <f t="shared" si="50"/>
        <v/>
      </c>
    </row>
    <row r="471" spans="21:26" x14ac:dyDescent="0.25">
      <c r="U471" s="449" t="str">
        <f t="shared" si="45"/>
        <v/>
      </c>
      <c r="V471" s="449" t="str">
        <f t="shared" si="46"/>
        <v/>
      </c>
      <c r="W471" s="449" t="str">
        <f t="shared" si="47"/>
        <v/>
      </c>
      <c r="X471" s="449" t="str">
        <f t="shared" si="48"/>
        <v/>
      </c>
      <c r="Y471" s="449" t="str">
        <f t="shared" si="49"/>
        <v/>
      </c>
      <c r="Z471" s="449" t="str">
        <f t="shared" si="50"/>
        <v/>
      </c>
    </row>
    <row r="472" spans="21:26" x14ac:dyDescent="0.25">
      <c r="U472" s="449" t="str">
        <f t="shared" si="45"/>
        <v/>
      </c>
      <c r="V472" s="449" t="str">
        <f t="shared" si="46"/>
        <v/>
      </c>
      <c r="W472" s="449" t="str">
        <f t="shared" si="47"/>
        <v/>
      </c>
      <c r="X472" s="449" t="str">
        <f t="shared" si="48"/>
        <v/>
      </c>
      <c r="Y472" s="449" t="str">
        <f t="shared" si="49"/>
        <v/>
      </c>
      <c r="Z472" s="449" t="str">
        <f t="shared" si="50"/>
        <v/>
      </c>
    </row>
    <row r="473" spans="21:26" x14ac:dyDescent="0.25">
      <c r="U473" s="449" t="str">
        <f t="shared" si="45"/>
        <v/>
      </c>
      <c r="V473" s="449" t="str">
        <f t="shared" si="46"/>
        <v/>
      </c>
      <c r="W473" s="449" t="str">
        <f t="shared" si="47"/>
        <v/>
      </c>
      <c r="X473" s="449" t="str">
        <f t="shared" si="48"/>
        <v/>
      </c>
      <c r="Y473" s="449" t="str">
        <f t="shared" si="49"/>
        <v/>
      </c>
      <c r="Z473" s="449" t="str">
        <f t="shared" si="50"/>
        <v/>
      </c>
    </row>
    <row r="474" spans="21:26" x14ac:dyDescent="0.25">
      <c r="U474" s="449" t="str">
        <f t="shared" si="45"/>
        <v/>
      </c>
      <c r="V474" s="449" t="str">
        <f t="shared" si="46"/>
        <v/>
      </c>
      <c r="W474" s="449" t="str">
        <f t="shared" si="47"/>
        <v/>
      </c>
      <c r="X474" s="449" t="str">
        <f t="shared" si="48"/>
        <v/>
      </c>
      <c r="Y474" s="449" t="str">
        <f t="shared" si="49"/>
        <v/>
      </c>
      <c r="Z474" s="449" t="str">
        <f t="shared" si="50"/>
        <v/>
      </c>
    </row>
    <row r="475" spans="21:26" x14ac:dyDescent="0.25">
      <c r="U475" s="449" t="str">
        <f t="shared" si="45"/>
        <v/>
      </c>
      <c r="V475" s="449" t="str">
        <f t="shared" si="46"/>
        <v/>
      </c>
      <c r="W475" s="449" t="str">
        <f t="shared" si="47"/>
        <v/>
      </c>
      <c r="X475" s="449" t="str">
        <f t="shared" si="48"/>
        <v/>
      </c>
      <c r="Y475" s="449" t="str">
        <f t="shared" si="49"/>
        <v/>
      </c>
      <c r="Z475" s="449" t="str">
        <f t="shared" si="50"/>
        <v/>
      </c>
    </row>
    <row r="476" spans="21:26" x14ac:dyDescent="0.25">
      <c r="U476" s="449" t="str">
        <f t="shared" si="45"/>
        <v/>
      </c>
      <c r="V476" s="449" t="str">
        <f t="shared" si="46"/>
        <v/>
      </c>
      <c r="W476" s="449" t="str">
        <f t="shared" si="47"/>
        <v/>
      </c>
      <c r="X476" s="449" t="str">
        <f t="shared" si="48"/>
        <v/>
      </c>
      <c r="Y476" s="449" t="str">
        <f t="shared" si="49"/>
        <v/>
      </c>
      <c r="Z476" s="449" t="str">
        <f t="shared" si="50"/>
        <v/>
      </c>
    </row>
    <row r="477" spans="21:26" x14ac:dyDescent="0.25">
      <c r="U477" s="449" t="str">
        <f t="shared" si="45"/>
        <v/>
      </c>
      <c r="V477" s="449" t="str">
        <f t="shared" si="46"/>
        <v/>
      </c>
      <c r="W477" s="449" t="str">
        <f t="shared" si="47"/>
        <v/>
      </c>
      <c r="X477" s="449" t="str">
        <f t="shared" si="48"/>
        <v/>
      </c>
      <c r="Y477" s="449" t="str">
        <f t="shared" si="49"/>
        <v/>
      </c>
      <c r="Z477" s="449" t="str">
        <f t="shared" si="50"/>
        <v/>
      </c>
    </row>
    <row r="478" spans="21:26" x14ac:dyDescent="0.25">
      <c r="U478" s="449" t="str">
        <f t="shared" si="45"/>
        <v/>
      </c>
      <c r="V478" s="449" t="str">
        <f t="shared" si="46"/>
        <v/>
      </c>
      <c r="W478" s="449" t="str">
        <f t="shared" si="47"/>
        <v/>
      </c>
      <c r="X478" s="449" t="str">
        <f t="shared" si="48"/>
        <v/>
      </c>
      <c r="Y478" s="449" t="str">
        <f t="shared" si="49"/>
        <v/>
      </c>
      <c r="Z478" s="449" t="str">
        <f t="shared" si="50"/>
        <v/>
      </c>
    </row>
    <row r="479" spans="21:26" x14ac:dyDescent="0.25">
      <c r="U479" s="449" t="str">
        <f t="shared" si="45"/>
        <v/>
      </c>
      <c r="V479" s="449" t="str">
        <f t="shared" si="46"/>
        <v/>
      </c>
      <c r="W479" s="449" t="str">
        <f t="shared" si="47"/>
        <v/>
      </c>
      <c r="X479" s="449" t="str">
        <f t="shared" si="48"/>
        <v/>
      </c>
      <c r="Y479" s="449" t="str">
        <f t="shared" si="49"/>
        <v/>
      </c>
      <c r="Z479" s="449" t="str">
        <f t="shared" si="50"/>
        <v/>
      </c>
    </row>
    <row r="480" spans="21:26" x14ac:dyDescent="0.25">
      <c r="U480" s="449" t="str">
        <f t="shared" si="45"/>
        <v/>
      </c>
      <c r="V480" s="449" t="str">
        <f t="shared" si="46"/>
        <v/>
      </c>
      <c r="W480" s="449" t="str">
        <f t="shared" si="47"/>
        <v/>
      </c>
      <c r="X480" s="449" t="str">
        <f t="shared" si="48"/>
        <v/>
      </c>
      <c r="Y480" s="449" t="str">
        <f t="shared" si="49"/>
        <v/>
      </c>
      <c r="Z480" s="449" t="str">
        <f t="shared" si="50"/>
        <v/>
      </c>
    </row>
    <row r="481" spans="21:26" x14ac:dyDescent="0.25">
      <c r="U481" s="449" t="str">
        <f t="shared" si="45"/>
        <v/>
      </c>
      <c r="V481" s="449" t="str">
        <f t="shared" si="46"/>
        <v/>
      </c>
      <c r="W481" s="449" t="str">
        <f t="shared" si="47"/>
        <v/>
      </c>
      <c r="X481" s="449" t="str">
        <f t="shared" si="48"/>
        <v/>
      </c>
      <c r="Y481" s="449" t="str">
        <f t="shared" si="49"/>
        <v/>
      </c>
      <c r="Z481" s="449" t="str">
        <f t="shared" si="50"/>
        <v/>
      </c>
    </row>
    <row r="482" spans="21:26" x14ac:dyDescent="0.25">
      <c r="U482" s="449" t="str">
        <f t="shared" si="45"/>
        <v/>
      </c>
      <c r="V482" s="449" t="str">
        <f t="shared" si="46"/>
        <v/>
      </c>
      <c r="W482" s="449" t="str">
        <f t="shared" si="47"/>
        <v/>
      </c>
      <c r="X482" s="449" t="str">
        <f t="shared" si="48"/>
        <v/>
      </c>
      <c r="Y482" s="449" t="str">
        <f t="shared" si="49"/>
        <v/>
      </c>
      <c r="Z482" s="449" t="str">
        <f t="shared" si="50"/>
        <v/>
      </c>
    </row>
    <row r="483" spans="21:26" x14ac:dyDescent="0.25">
      <c r="U483" s="449" t="str">
        <f t="shared" si="45"/>
        <v/>
      </c>
      <c r="V483" s="449" t="str">
        <f t="shared" si="46"/>
        <v/>
      </c>
      <c r="W483" s="449" t="str">
        <f t="shared" si="47"/>
        <v/>
      </c>
      <c r="X483" s="449" t="str">
        <f t="shared" si="48"/>
        <v/>
      </c>
      <c r="Y483" s="449" t="str">
        <f t="shared" si="49"/>
        <v/>
      </c>
      <c r="Z483" s="449" t="str">
        <f t="shared" si="50"/>
        <v/>
      </c>
    </row>
    <row r="484" spans="21:26" x14ac:dyDescent="0.25">
      <c r="U484" s="449" t="str">
        <f t="shared" si="45"/>
        <v/>
      </c>
      <c r="V484" s="449" t="str">
        <f t="shared" si="46"/>
        <v/>
      </c>
      <c r="W484" s="449" t="str">
        <f t="shared" si="47"/>
        <v/>
      </c>
      <c r="X484" s="449" t="str">
        <f t="shared" si="48"/>
        <v/>
      </c>
      <c r="Y484" s="449" t="str">
        <f t="shared" si="49"/>
        <v/>
      </c>
      <c r="Z484" s="449" t="str">
        <f t="shared" si="50"/>
        <v/>
      </c>
    </row>
    <row r="485" spans="21:26" x14ac:dyDescent="0.25">
      <c r="U485" s="449" t="str">
        <f t="shared" si="45"/>
        <v/>
      </c>
      <c r="V485" s="449" t="str">
        <f t="shared" si="46"/>
        <v/>
      </c>
      <c r="W485" s="449" t="str">
        <f t="shared" si="47"/>
        <v/>
      </c>
      <c r="X485" s="449" t="str">
        <f t="shared" si="48"/>
        <v/>
      </c>
      <c r="Y485" s="449" t="str">
        <f t="shared" si="49"/>
        <v/>
      </c>
      <c r="Z485" s="449" t="str">
        <f t="shared" si="50"/>
        <v/>
      </c>
    </row>
    <row r="486" spans="21:26" x14ac:dyDescent="0.25">
      <c r="U486" s="449" t="str">
        <f t="shared" si="45"/>
        <v/>
      </c>
      <c r="V486" s="449" t="str">
        <f t="shared" si="46"/>
        <v/>
      </c>
      <c r="W486" s="449" t="str">
        <f t="shared" si="47"/>
        <v/>
      </c>
      <c r="X486" s="449" t="str">
        <f t="shared" si="48"/>
        <v/>
      </c>
      <c r="Y486" s="449" t="str">
        <f t="shared" si="49"/>
        <v/>
      </c>
      <c r="Z486" s="449" t="str">
        <f t="shared" si="50"/>
        <v/>
      </c>
    </row>
    <row r="487" spans="21:26" x14ac:dyDescent="0.25">
      <c r="U487" s="449" t="str">
        <f t="shared" si="45"/>
        <v/>
      </c>
      <c r="V487" s="449" t="str">
        <f t="shared" si="46"/>
        <v/>
      </c>
      <c r="W487" s="449" t="str">
        <f t="shared" si="47"/>
        <v/>
      </c>
      <c r="X487" s="449" t="str">
        <f t="shared" si="48"/>
        <v/>
      </c>
      <c r="Y487" s="449" t="str">
        <f t="shared" si="49"/>
        <v/>
      </c>
      <c r="Z487" s="449" t="str">
        <f t="shared" si="50"/>
        <v/>
      </c>
    </row>
    <row r="488" spans="21:26" x14ac:dyDescent="0.25">
      <c r="U488" s="449" t="str">
        <f t="shared" si="45"/>
        <v/>
      </c>
      <c r="V488" s="449" t="str">
        <f t="shared" si="46"/>
        <v/>
      </c>
      <c r="W488" s="449" t="str">
        <f t="shared" si="47"/>
        <v/>
      </c>
      <c r="X488" s="449" t="str">
        <f t="shared" si="48"/>
        <v/>
      </c>
      <c r="Y488" s="449" t="str">
        <f t="shared" si="49"/>
        <v/>
      </c>
      <c r="Z488" s="449" t="str">
        <f t="shared" si="50"/>
        <v/>
      </c>
    </row>
    <row r="489" spans="21:26" x14ac:dyDescent="0.25">
      <c r="U489" s="449" t="str">
        <f t="shared" si="45"/>
        <v/>
      </c>
      <c r="V489" s="449" t="str">
        <f t="shared" si="46"/>
        <v/>
      </c>
      <c r="W489" s="449" t="str">
        <f t="shared" si="47"/>
        <v/>
      </c>
      <c r="X489" s="449" t="str">
        <f t="shared" si="48"/>
        <v/>
      </c>
      <c r="Y489" s="449" t="str">
        <f t="shared" si="49"/>
        <v/>
      </c>
      <c r="Z489" s="449" t="str">
        <f t="shared" si="50"/>
        <v/>
      </c>
    </row>
    <row r="490" spans="21:26" x14ac:dyDescent="0.25">
      <c r="U490" s="449" t="str">
        <f t="shared" si="45"/>
        <v/>
      </c>
      <c r="V490" s="449" t="str">
        <f t="shared" si="46"/>
        <v/>
      </c>
      <c r="W490" s="449" t="str">
        <f t="shared" si="47"/>
        <v/>
      </c>
      <c r="X490" s="449" t="str">
        <f t="shared" si="48"/>
        <v/>
      </c>
      <c r="Y490" s="449" t="str">
        <f t="shared" si="49"/>
        <v/>
      </c>
      <c r="Z490" s="449" t="str">
        <f t="shared" si="50"/>
        <v/>
      </c>
    </row>
    <row r="491" spans="21:26" x14ac:dyDescent="0.25">
      <c r="U491" s="449" t="str">
        <f t="shared" si="45"/>
        <v/>
      </c>
      <c r="V491" s="449" t="str">
        <f t="shared" si="46"/>
        <v/>
      </c>
      <c r="W491" s="449" t="str">
        <f t="shared" si="47"/>
        <v/>
      </c>
      <c r="X491" s="449" t="str">
        <f t="shared" si="48"/>
        <v/>
      </c>
      <c r="Y491" s="449" t="str">
        <f t="shared" si="49"/>
        <v/>
      </c>
      <c r="Z491" s="449" t="str">
        <f t="shared" si="50"/>
        <v/>
      </c>
    </row>
    <row r="492" spans="21:26" x14ac:dyDescent="0.25">
      <c r="U492" s="449" t="str">
        <f t="shared" si="45"/>
        <v/>
      </c>
      <c r="V492" s="449" t="str">
        <f t="shared" si="46"/>
        <v/>
      </c>
      <c r="W492" s="449" t="str">
        <f t="shared" si="47"/>
        <v/>
      </c>
      <c r="X492" s="449" t="str">
        <f t="shared" si="48"/>
        <v/>
      </c>
      <c r="Y492" s="449" t="str">
        <f t="shared" si="49"/>
        <v/>
      </c>
      <c r="Z492" s="449" t="str">
        <f t="shared" si="50"/>
        <v/>
      </c>
    </row>
    <row r="493" spans="21:26" x14ac:dyDescent="0.25">
      <c r="U493" s="449" t="str">
        <f t="shared" si="45"/>
        <v/>
      </c>
      <c r="V493" s="449" t="str">
        <f t="shared" si="46"/>
        <v/>
      </c>
      <c r="W493" s="449" t="str">
        <f t="shared" si="47"/>
        <v/>
      </c>
      <c r="X493" s="449" t="str">
        <f t="shared" si="48"/>
        <v/>
      </c>
      <c r="Y493" s="449" t="str">
        <f t="shared" si="49"/>
        <v/>
      </c>
      <c r="Z493" s="449" t="str">
        <f t="shared" si="50"/>
        <v/>
      </c>
    </row>
    <row r="494" spans="21:26" x14ac:dyDescent="0.25">
      <c r="U494" s="449" t="str">
        <f t="shared" si="45"/>
        <v/>
      </c>
      <c r="V494" s="449" t="str">
        <f t="shared" si="46"/>
        <v/>
      </c>
      <c r="W494" s="449" t="str">
        <f t="shared" si="47"/>
        <v/>
      </c>
      <c r="X494" s="449" t="str">
        <f t="shared" si="48"/>
        <v/>
      </c>
      <c r="Y494" s="449" t="str">
        <f t="shared" si="49"/>
        <v/>
      </c>
      <c r="Z494" s="449" t="str">
        <f t="shared" si="50"/>
        <v/>
      </c>
    </row>
    <row r="495" spans="21:26" x14ac:dyDescent="0.25">
      <c r="U495" s="449" t="str">
        <f t="shared" si="45"/>
        <v/>
      </c>
      <c r="V495" s="449" t="str">
        <f t="shared" si="46"/>
        <v/>
      </c>
      <c r="W495" s="449" t="str">
        <f t="shared" si="47"/>
        <v/>
      </c>
      <c r="X495" s="449" t="str">
        <f t="shared" si="48"/>
        <v/>
      </c>
      <c r="Y495" s="449" t="str">
        <f t="shared" si="49"/>
        <v/>
      </c>
      <c r="Z495" s="449" t="str">
        <f t="shared" si="50"/>
        <v/>
      </c>
    </row>
    <row r="496" spans="21:26" x14ac:dyDescent="0.25">
      <c r="U496" s="449" t="str">
        <f t="shared" si="45"/>
        <v/>
      </c>
      <c r="V496" s="449" t="str">
        <f t="shared" si="46"/>
        <v/>
      </c>
      <c r="W496" s="449" t="str">
        <f t="shared" si="47"/>
        <v/>
      </c>
      <c r="X496" s="449" t="str">
        <f t="shared" si="48"/>
        <v/>
      </c>
      <c r="Y496" s="449" t="str">
        <f t="shared" si="49"/>
        <v/>
      </c>
      <c r="Z496" s="449" t="str">
        <f t="shared" si="50"/>
        <v/>
      </c>
    </row>
    <row r="497" spans="21:26" x14ac:dyDescent="0.25">
      <c r="U497" s="449" t="str">
        <f t="shared" si="45"/>
        <v/>
      </c>
      <c r="V497" s="449" t="str">
        <f t="shared" si="46"/>
        <v/>
      </c>
      <c r="W497" s="449" t="str">
        <f t="shared" si="47"/>
        <v/>
      </c>
      <c r="X497" s="449" t="str">
        <f t="shared" si="48"/>
        <v/>
      </c>
      <c r="Y497" s="449" t="str">
        <f t="shared" si="49"/>
        <v/>
      </c>
      <c r="Z497" s="449" t="str">
        <f t="shared" si="50"/>
        <v/>
      </c>
    </row>
    <row r="498" spans="21:26" x14ac:dyDescent="0.25">
      <c r="U498" s="449" t="str">
        <f t="shared" si="45"/>
        <v/>
      </c>
      <c r="V498" s="449" t="str">
        <f t="shared" si="46"/>
        <v/>
      </c>
      <c r="W498" s="449" t="str">
        <f t="shared" si="47"/>
        <v/>
      </c>
      <c r="X498" s="449" t="str">
        <f t="shared" si="48"/>
        <v/>
      </c>
      <c r="Y498" s="449" t="str">
        <f t="shared" si="49"/>
        <v/>
      </c>
      <c r="Z498" s="449" t="str">
        <f t="shared" si="50"/>
        <v/>
      </c>
    </row>
    <row r="499" spans="21:26" x14ac:dyDescent="0.25">
      <c r="U499" s="449" t="str">
        <f t="shared" si="45"/>
        <v/>
      </c>
      <c r="V499" s="449" t="str">
        <f t="shared" si="46"/>
        <v/>
      </c>
      <c r="W499" s="449" t="str">
        <f t="shared" si="47"/>
        <v/>
      </c>
      <c r="X499" s="449" t="str">
        <f t="shared" si="48"/>
        <v/>
      </c>
      <c r="Y499" s="449" t="str">
        <f t="shared" si="49"/>
        <v/>
      </c>
      <c r="Z499" s="449" t="str">
        <f t="shared" si="50"/>
        <v/>
      </c>
    </row>
    <row r="500" spans="21:26" x14ac:dyDescent="0.25">
      <c r="U500" s="449" t="str">
        <f t="shared" si="45"/>
        <v/>
      </c>
      <c r="V500" s="449" t="str">
        <f t="shared" si="46"/>
        <v/>
      </c>
      <c r="W500" s="449" t="str">
        <f t="shared" si="47"/>
        <v/>
      </c>
      <c r="X500" s="449" t="str">
        <f t="shared" si="48"/>
        <v/>
      </c>
      <c r="Y500" s="449" t="str">
        <f t="shared" si="49"/>
        <v/>
      </c>
      <c r="Z500" s="449" t="str">
        <f t="shared" si="50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2:AM501"/>
  <sheetViews>
    <sheetView workbookViewId="0"/>
  </sheetViews>
  <sheetFormatPr defaultRowHeight="15" x14ac:dyDescent="0.25"/>
  <sheetData>
    <row r="2" spans="24:39" x14ac:dyDescent="0.25">
      <c r="X2" t="s">
        <v>1840</v>
      </c>
      <c r="Y2" t="s">
        <v>1837</v>
      </c>
      <c r="Z2" t="s">
        <v>1832</v>
      </c>
      <c r="AA2" s="24" t="s">
        <v>1832</v>
      </c>
      <c r="AB2" t="s">
        <v>1837</v>
      </c>
      <c r="AC2" t="s">
        <v>1833</v>
      </c>
      <c r="AD2" t="s">
        <v>1834</v>
      </c>
      <c r="AE2" t="s">
        <v>536</v>
      </c>
      <c r="AF2" t="s">
        <v>537</v>
      </c>
      <c r="AG2" t="s">
        <v>538</v>
      </c>
      <c r="AH2" t="s">
        <v>539</v>
      </c>
      <c r="AI2" t="s">
        <v>540</v>
      </c>
      <c r="AJ2" t="s">
        <v>541</v>
      </c>
      <c r="AK2" t="s">
        <v>542</v>
      </c>
      <c r="AL2" t="s">
        <v>1835</v>
      </c>
      <c r="AM2" t="s">
        <v>1836</v>
      </c>
    </row>
    <row r="3" spans="24:39" x14ac:dyDescent="0.25">
      <c r="X3" s="449" t="str">
        <f>IF(Z3="","",IF(OR(Z3="21",Z3="22",Z3="36",Z3="61",Z3="24"),Z3,LEFT(Z3,1)&amp;"0"))</f>
        <v>10</v>
      </c>
      <c r="Y3" s="449" t="str">
        <f>IF(AB3="","",IF(OR(LEFT(AB3,1)="3",LEFT(AB3,1)="4",LEFT(AB3,1)="5"),"300",IF(OR(LEFT(AB3,1)="9",LEFT(AB3,1)="0"),"900",LEFT(AB3,3))))</f>
        <v>100</v>
      </c>
      <c r="Z3" s="449" t="str">
        <f>LEFT(AA3,2)</f>
        <v>10</v>
      </c>
      <c r="AA3" t="s">
        <v>1857</v>
      </c>
      <c r="AB3" t="s">
        <v>1869</v>
      </c>
      <c r="AC3">
        <v>3684714.06</v>
      </c>
      <c r="AD3">
        <v>3935903.18</v>
      </c>
      <c r="AE3">
        <v>3933584.23</v>
      </c>
      <c r="AF3">
        <v>3985358.61</v>
      </c>
      <c r="AG3">
        <v>3736452.12</v>
      </c>
      <c r="AH3">
        <v>3714390.95</v>
      </c>
      <c r="AI3">
        <v>3743841.19</v>
      </c>
      <c r="AJ3">
        <v>3790579.91</v>
      </c>
      <c r="AK3">
        <v>3833960.3</v>
      </c>
      <c r="AL3">
        <v>3878143.48</v>
      </c>
      <c r="AM3">
        <v>3927369.81</v>
      </c>
    </row>
    <row r="4" spans="24:39" x14ac:dyDescent="0.25">
      <c r="X4" s="449" t="str">
        <f t="shared" ref="X4:X67" si="0">IF(Z4="","",IF(OR(Z4="21",Z4="22",Z4="36",Z4="61",Z4="24"),Z4,LEFT(Z4,1)&amp;"0"))</f>
        <v>10</v>
      </c>
      <c r="Y4" s="449" t="str">
        <f t="shared" ref="Y4:Y67" si="1">IF(AB4="","",IF(OR(LEFT(AB4,1)="3",LEFT(AB4,1)="4",LEFT(AB4,1)="5"),"300",IF(OR(LEFT(AB4,1)="9",LEFT(AB4,1)="0"),"900",LEFT(AB4,3))))</f>
        <v>200</v>
      </c>
      <c r="Z4" s="449" t="str">
        <f t="shared" ref="Z4:Z67" si="2">LEFT(AA4,2)</f>
        <v>10</v>
      </c>
      <c r="AA4" t="s">
        <v>1857</v>
      </c>
      <c r="AB4" t="s">
        <v>1870</v>
      </c>
      <c r="AC4">
        <v>940983.78</v>
      </c>
      <c r="AD4">
        <v>987677.34</v>
      </c>
      <c r="AE4">
        <v>1022409.02</v>
      </c>
      <c r="AF4">
        <v>1082301.19</v>
      </c>
      <c r="AG4">
        <v>979575.33</v>
      </c>
      <c r="AH4">
        <v>973889.26</v>
      </c>
      <c r="AI4">
        <v>1017643.65</v>
      </c>
      <c r="AJ4">
        <v>1034891.27</v>
      </c>
      <c r="AK4">
        <v>1051727.25</v>
      </c>
      <c r="AL4">
        <v>1085405.53</v>
      </c>
      <c r="AM4">
        <v>1104213.98</v>
      </c>
    </row>
    <row r="5" spans="24:39" x14ac:dyDescent="0.25">
      <c r="X5" s="449" t="str">
        <f t="shared" si="0"/>
        <v>10</v>
      </c>
      <c r="Y5" s="449" t="str">
        <f t="shared" si="1"/>
        <v>300</v>
      </c>
      <c r="Z5" s="449" t="str">
        <f t="shared" si="2"/>
        <v>10</v>
      </c>
      <c r="AA5" t="s">
        <v>1857</v>
      </c>
      <c r="AB5" t="s">
        <v>1871</v>
      </c>
      <c r="AC5">
        <v>249275.77</v>
      </c>
      <c r="AD5">
        <v>289612.90999999997</v>
      </c>
      <c r="AE5">
        <v>191708.52</v>
      </c>
      <c r="AF5">
        <v>148785.4</v>
      </c>
      <c r="AG5">
        <v>95931.56</v>
      </c>
      <c r="AH5">
        <v>97850.2</v>
      </c>
      <c r="AI5">
        <v>99184.16</v>
      </c>
      <c r="AJ5">
        <v>100670.79</v>
      </c>
      <c r="AK5">
        <v>102179.71</v>
      </c>
      <c r="AL5">
        <v>103711.3</v>
      </c>
      <c r="AM5">
        <v>105265.78</v>
      </c>
    </row>
    <row r="6" spans="24:39" x14ac:dyDescent="0.25">
      <c r="X6" s="449" t="str">
        <f t="shared" si="0"/>
        <v>10</v>
      </c>
      <c r="Y6" s="449" t="str">
        <f t="shared" si="1"/>
        <v>300</v>
      </c>
      <c r="Z6" s="449" t="str">
        <f t="shared" si="2"/>
        <v>10</v>
      </c>
      <c r="AA6" t="s">
        <v>1857</v>
      </c>
      <c r="AB6" t="s">
        <v>1872</v>
      </c>
      <c r="AC6">
        <v>47164.36</v>
      </c>
      <c r="AD6">
        <v>47183.88</v>
      </c>
      <c r="AE6">
        <v>43970.45</v>
      </c>
      <c r="AF6">
        <v>44038.53</v>
      </c>
      <c r="AG6">
        <v>44349.35</v>
      </c>
      <c r="AH6">
        <v>45236.33</v>
      </c>
      <c r="AI6">
        <v>45914.87</v>
      </c>
      <c r="AJ6">
        <v>46603.6</v>
      </c>
      <c r="AK6">
        <v>47302.65</v>
      </c>
      <c r="AL6">
        <v>48012.19</v>
      </c>
      <c r="AM6">
        <v>48732.37</v>
      </c>
    </row>
    <row r="7" spans="24:39" x14ac:dyDescent="0.25">
      <c r="X7" s="449" t="str">
        <f t="shared" si="0"/>
        <v>10</v>
      </c>
      <c r="Y7" s="449" t="str">
        <f t="shared" si="1"/>
        <v>300</v>
      </c>
      <c r="Z7" s="449" t="str">
        <f t="shared" si="2"/>
        <v>10</v>
      </c>
      <c r="AA7" t="s">
        <v>1857</v>
      </c>
      <c r="AB7" t="s">
        <v>1873</v>
      </c>
      <c r="AC7">
        <v>475291.43</v>
      </c>
      <c r="AD7">
        <v>692124.88</v>
      </c>
      <c r="AE7">
        <v>543094.43000000005</v>
      </c>
      <c r="AF7">
        <v>667288.55000000005</v>
      </c>
      <c r="AG7">
        <v>718295.49</v>
      </c>
      <c r="AH7">
        <v>765761.4</v>
      </c>
      <c r="AI7">
        <v>777184.39</v>
      </c>
      <c r="AJ7">
        <v>784617.99</v>
      </c>
      <c r="AK7">
        <v>791980.72</v>
      </c>
      <c r="AL7">
        <v>799412.56</v>
      </c>
      <c r="AM7">
        <v>807082.51</v>
      </c>
    </row>
    <row r="8" spans="24:39" x14ac:dyDescent="0.25">
      <c r="X8" s="449" t="str">
        <f t="shared" si="0"/>
        <v>10</v>
      </c>
      <c r="Y8" s="449" t="str">
        <f t="shared" si="1"/>
        <v>600</v>
      </c>
      <c r="Z8" s="449" t="str">
        <f t="shared" si="2"/>
        <v>10</v>
      </c>
      <c r="AA8" t="s">
        <v>1857</v>
      </c>
      <c r="AB8" t="s">
        <v>1874</v>
      </c>
      <c r="AC8">
        <v>471634.93</v>
      </c>
      <c r="AD8">
        <v>484915.63</v>
      </c>
      <c r="AE8">
        <v>355802.11</v>
      </c>
      <c r="AF8">
        <v>357843.45</v>
      </c>
      <c r="AG8">
        <v>347678.57</v>
      </c>
      <c r="AH8">
        <v>354632.17</v>
      </c>
      <c r="AI8">
        <v>367812.05</v>
      </c>
      <c r="AJ8">
        <v>373311.48</v>
      </c>
      <c r="AK8">
        <v>378893.63</v>
      </c>
      <c r="AL8">
        <v>384559.24</v>
      </c>
      <c r="AM8">
        <v>390309.91</v>
      </c>
    </row>
    <row r="9" spans="24:39" x14ac:dyDescent="0.25">
      <c r="X9" s="449" t="str">
        <f t="shared" si="0"/>
        <v>10</v>
      </c>
      <c r="Y9" s="449" t="str">
        <f t="shared" si="1"/>
        <v>700</v>
      </c>
      <c r="Z9" s="449" t="str">
        <f t="shared" si="2"/>
        <v>10</v>
      </c>
      <c r="AA9" t="s">
        <v>1857</v>
      </c>
      <c r="AB9" t="s">
        <v>1875</v>
      </c>
      <c r="AC9">
        <v>32142.92</v>
      </c>
      <c r="AD9">
        <v>106996.5</v>
      </c>
      <c r="AE9">
        <v>46111.58</v>
      </c>
      <c r="AF9">
        <v>104227.91</v>
      </c>
      <c r="AG9">
        <v>8452.94</v>
      </c>
      <c r="AH9">
        <v>8622</v>
      </c>
      <c r="AI9">
        <v>8329.07</v>
      </c>
      <c r="AJ9">
        <v>8453.9500000000007</v>
      </c>
      <c r="AK9">
        <v>8580.65</v>
      </c>
      <c r="AL9">
        <v>8709.61</v>
      </c>
      <c r="AM9">
        <v>8839.99</v>
      </c>
    </row>
    <row r="10" spans="24:39" x14ac:dyDescent="0.25">
      <c r="X10" s="449" t="str">
        <f t="shared" si="0"/>
        <v>10</v>
      </c>
      <c r="Y10" s="449" t="str">
        <f t="shared" si="1"/>
        <v>800</v>
      </c>
      <c r="Z10" s="449" t="str">
        <f t="shared" si="2"/>
        <v>10</v>
      </c>
      <c r="AA10" t="s">
        <v>1857</v>
      </c>
      <c r="AB10" t="s">
        <v>1876</v>
      </c>
      <c r="AC10">
        <v>18087.400000000001</v>
      </c>
      <c r="AD10">
        <v>12157.66</v>
      </c>
      <c r="AE10">
        <v>14706.14</v>
      </c>
      <c r="AF10">
        <v>25239.98</v>
      </c>
      <c r="AG10">
        <v>39753.620000000003</v>
      </c>
      <c r="AH10">
        <v>40548.69</v>
      </c>
      <c r="AI10">
        <v>41017.07</v>
      </c>
      <c r="AJ10">
        <v>41545.43</v>
      </c>
      <c r="AK10">
        <v>42067.18</v>
      </c>
      <c r="AL10">
        <v>42596.53</v>
      </c>
      <c r="AM10">
        <v>43150.27</v>
      </c>
    </row>
    <row r="11" spans="24:39" x14ac:dyDescent="0.25">
      <c r="X11" s="449" t="str">
        <f t="shared" si="0"/>
        <v>10</v>
      </c>
      <c r="Y11" s="449" t="str">
        <f t="shared" si="1"/>
        <v>900</v>
      </c>
      <c r="Z11" s="449" t="str">
        <f t="shared" si="2"/>
        <v>10</v>
      </c>
      <c r="AA11" t="s">
        <v>1857</v>
      </c>
      <c r="AB11" t="s">
        <v>1877</v>
      </c>
      <c r="AC11">
        <v>241211.81</v>
      </c>
      <c r="AD11">
        <v>234300.2</v>
      </c>
      <c r="AE11">
        <v>246469.95</v>
      </c>
      <c r="AF11">
        <v>232364</v>
      </c>
      <c r="AG11">
        <v>263172.78000000003</v>
      </c>
      <c r="AH11">
        <v>230311</v>
      </c>
      <c r="AI11">
        <v>250280</v>
      </c>
      <c r="AJ11">
        <v>248953</v>
      </c>
      <c r="AK11">
        <v>247443</v>
      </c>
      <c r="AL11">
        <v>246496</v>
      </c>
      <c r="AM11">
        <v>246316</v>
      </c>
    </row>
    <row r="12" spans="24:39" x14ac:dyDescent="0.25">
      <c r="X12" s="449" t="str">
        <f t="shared" si="0"/>
        <v>21</v>
      </c>
      <c r="Y12" s="449" t="str">
        <f t="shared" si="1"/>
        <v>300</v>
      </c>
      <c r="Z12" s="449" t="str">
        <f t="shared" si="2"/>
        <v>21</v>
      </c>
      <c r="AA12" t="s">
        <v>1858</v>
      </c>
      <c r="AB12" t="s">
        <v>1871</v>
      </c>
      <c r="AC12">
        <v>19346</v>
      </c>
      <c r="AD12">
        <v>17875</v>
      </c>
      <c r="AE12">
        <v>19670</v>
      </c>
      <c r="AF12">
        <v>27379.83</v>
      </c>
      <c r="AG12">
        <v>23033</v>
      </c>
      <c r="AH12">
        <v>26096.67</v>
      </c>
      <c r="AI12">
        <v>26488.12</v>
      </c>
      <c r="AJ12">
        <v>26885.45</v>
      </c>
      <c r="AK12">
        <v>27288.73</v>
      </c>
      <c r="AL12">
        <v>27698.06</v>
      </c>
      <c r="AM12">
        <v>28113.53</v>
      </c>
    </row>
    <row r="13" spans="24:39" x14ac:dyDescent="0.25">
      <c r="X13" s="449" t="str">
        <f t="shared" si="0"/>
        <v>21</v>
      </c>
      <c r="Y13" s="449" t="str">
        <f t="shared" si="1"/>
        <v>300</v>
      </c>
      <c r="Z13" s="449" t="str">
        <f t="shared" si="2"/>
        <v>21</v>
      </c>
      <c r="AA13" t="s">
        <v>1858</v>
      </c>
      <c r="AB13" t="s">
        <v>1873</v>
      </c>
      <c r="AC13">
        <v>21695.89</v>
      </c>
      <c r="AD13">
        <v>22500.77</v>
      </c>
      <c r="AE13">
        <v>25573.03</v>
      </c>
      <c r="AF13">
        <v>19076.919999999998</v>
      </c>
      <c r="AG13">
        <v>19454.2</v>
      </c>
      <c r="AH13">
        <v>22041.85</v>
      </c>
      <c r="AI13">
        <v>22372.47</v>
      </c>
      <c r="AJ13">
        <v>22708.06</v>
      </c>
      <c r="AK13">
        <v>23048.68</v>
      </c>
      <c r="AL13">
        <v>23394.41</v>
      </c>
      <c r="AM13">
        <v>23745.33</v>
      </c>
    </row>
    <row r="14" spans="24:39" x14ac:dyDescent="0.25">
      <c r="X14" s="449" t="str">
        <f t="shared" si="0"/>
        <v>21</v>
      </c>
      <c r="Y14" s="449" t="str">
        <f t="shared" si="1"/>
        <v>600</v>
      </c>
      <c r="Z14" s="449" t="str">
        <f t="shared" si="2"/>
        <v>21</v>
      </c>
      <c r="AA14" t="s">
        <v>1858</v>
      </c>
      <c r="AB14" t="s">
        <v>1874</v>
      </c>
      <c r="AC14">
        <v>116160.46</v>
      </c>
      <c r="AD14">
        <v>117225.44</v>
      </c>
      <c r="AE14">
        <v>131171.20000000001</v>
      </c>
      <c r="AF14">
        <v>185955.42</v>
      </c>
      <c r="AG14">
        <v>123764.17</v>
      </c>
      <c r="AH14">
        <v>140226.32999999999</v>
      </c>
      <c r="AI14">
        <v>142329.73000000001</v>
      </c>
      <c r="AJ14">
        <v>144464.67000000001</v>
      </c>
      <c r="AK14">
        <v>146631.64000000001</v>
      </c>
      <c r="AL14">
        <v>148831.12</v>
      </c>
      <c r="AM14">
        <v>151063.59</v>
      </c>
    </row>
    <row r="15" spans="24:39" x14ac:dyDescent="0.25">
      <c r="X15" s="449" t="str">
        <f t="shared" si="0"/>
        <v>21</v>
      </c>
      <c r="Y15" s="449" t="str">
        <f t="shared" si="1"/>
        <v>700</v>
      </c>
      <c r="Z15" s="449" t="str">
        <f t="shared" si="2"/>
        <v>21</v>
      </c>
      <c r="AA15" t="s">
        <v>1858</v>
      </c>
      <c r="AB15" t="s">
        <v>1875</v>
      </c>
      <c r="AC15">
        <v>9237.2199999999993</v>
      </c>
      <c r="AD15">
        <v>31585.43</v>
      </c>
      <c r="AE15">
        <v>7409.67</v>
      </c>
      <c r="AF15">
        <v>18584.96</v>
      </c>
      <c r="AG15">
        <v>2255.63</v>
      </c>
      <c r="AH15">
        <v>2555.65</v>
      </c>
      <c r="AI15">
        <v>2593.9899999999998</v>
      </c>
      <c r="AJ15">
        <v>2632.9</v>
      </c>
      <c r="AK15">
        <v>2672.39</v>
      </c>
      <c r="AL15">
        <v>2712.48</v>
      </c>
      <c r="AM15">
        <v>2753.17</v>
      </c>
    </row>
    <row r="16" spans="24:39" x14ac:dyDescent="0.25">
      <c r="X16" s="449" t="str">
        <f t="shared" si="0"/>
        <v>21</v>
      </c>
      <c r="Y16" s="449" t="str">
        <f t="shared" si="1"/>
        <v>800</v>
      </c>
      <c r="Z16" s="449" t="str">
        <f t="shared" si="2"/>
        <v>21</v>
      </c>
      <c r="AA16" t="s">
        <v>1858</v>
      </c>
      <c r="AB16" t="s">
        <v>1876</v>
      </c>
      <c r="AC16">
        <v>18861.25</v>
      </c>
      <c r="AD16">
        <v>17766</v>
      </c>
      <c r="AE16">
        <v>13358.75</v>
      </c>
      <c r="AF16">
        <v>15738.5</v>
      </c>
      <c r="AG16">
        <v>10730</v>
      </c>
      <c r="AH16">
        <v>12157.22</v>
      </c>
      <c r="AI16">
        <v>12339.58</v>
      </c>
      <c r="AJ16">
        <v>12524.67</v>
      </c>
      <c r="AK16">
        <v>12712.55</v>
      </c>
      <c r="AL16">
        <v>12903.23</v>
      </c>
      <c r="AM16">
        <v>13096.78</v>
      </c>
    </row>
    <row r="17" spans="24:39" x14ac:dyDescent="0.25">
      <c r="X17" s="449" t="str">
        <f t="shared" si="0"/>
        <v>21</v>
      </c>
      <c r="Y17" s="449" t="str">
        <f t="shared" si="1"/>
        <v>900</v>
      </c>
      <c r="Z17" s="449" t="str">
        <f t="shared" si="2"/>
        <v>21</v>
      </c>
      <c r="AA17" t="s">
        <v>1858</v>
      </c>
      <c r="AB17" t="s">
        <v>1877</v>
      </c>
      <c r="AC17">
        <v>0</v>
      </c>
      <c r="AD17">
        <v>0</v>
      </c>
      <c r="AE17">
        <v>4128.84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24:39" x14ac:dyDescent="0.25">
      <c r="X18" s="449" t="str">
        <f t="shared" si="0"/>
        <v>22</v>
      </c>
      <c r="Y18" s="449" t="str">
        <f t="shared" si="1"/>
        <v>200</v>
      </c>
      <c r="Z18" s="449" t="str">
        <f t="shared" si="2"/>
        <v>22</v>
      </c>
      <c r="AA18" t="s">
        <v>1859</v>
      </c>
      <c r="AB18" t="s">
        <v>1870</v>
      </c>
      <c r="AC18">
        <v>92141</v>
      </c>
      <c r="AD18">
        <v>9175.24</v>
      </c>
      <c r="AE18">
        <v>83170</v>
      </c>
      <c r="AF18">
        <v>84307.64</v>
      </c>
      <c r="AG18">
        <v>89930.45</v>
      </c>
      <c r="AH18">
        <v>67151.48</v>
      </c>
      <c r="AI18">
        <v>68158.75</v>
      </c>
      <c r="AJ18">
        <v>69181.13</v>
      </c>
      <c r="AK18">
        <v>70218.850000000006</v>
      </c>
      <c r="AL18">
        <v>71272.13</v>
      </c>
      <c r="AM18">
        <v>72341.22</v>
      </c>
    </row>
    <row r="19" spans="24:39" x14ac:dyDescent="0.25">
      <c r="X19" s="449" t="str">
        <f t="shared" si="0"/>
        <v>22</v>
      </c>
      <c r="Y19" s="449" t="str">
        <f t="shared" si="1"/>
        <v>300</v>
      </c>
      <c r="Z19" s="449" t="str">
        <f t="shared" si="2"/>
        <v>22</v>
      </c>
      <c r="AA19" t="s">
        <v>1859</v>
      </c>
      <c r="AB19" t="s">
        <v>1873</v>
      </c>
      <c r="AC19">
        <v>83268</v>
      </c>
      <c r="AD19">
        <v>4486.4799999999996</v>
      </c>
      <c r="AE19">
        <v>48636</v>
      </c>
      <c r="AF19">
        <v>52401</v>
      </c>
      <c r="AG19">
        <v>78772</v>
      </c>
      <c r="AH19">
        <v>69601.5</v>
      </c>
      <c r="AI19">
        <v>70645.52</v>
      </c>
      <c r="AJ19">
        <v>71705.210000000006</v>
      </c>
      <c r="AK19">
        <v>72780.78</v>
      </c>
      <c r="AL19">
        <v>73872.5</v>
      </c>
      <c r="AM19">
        <v>74980.58</v>
      </c>
    </row>
    <row r="20" spans="24:39" x14ac:dyDescent="0.25">
      <c r="X20" s="449" t="str">
        <f t="shared" si="0"/>
        <v>22</v>
      </c>
      <c r="Y20" s="449" t="str">
        <f t="shared" si="1"/>
        <v>900</v>
      </c>
      <c r="Z20" s="449" t="str">
        <f t="shared" si="2"/>
        <v>22</v>
      </c>
      <c r="AA20" t="s">
        <v>1859</v>
      </c>
      <c r="AB20" t="s">
        <v>1877</v>
      </c>
      <c r="AC20">
        <v>0</v>
      </c>
      <c r="AD20">
        <v>0</v>
      </c>
      <c r="AE20">
        <v>15537.56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24:39" x14ac:dyDescent="0.25">
      <c r="X21" s="449" t="str">
        <f t="shared" si="0"/>
        <v>20</v>
      </c>
      <c r="Y21" s="449" t="str">
        <f t="shared" si="1"/>
        <v>600</v>
      </c>
      <c r="Z21" s="449" t="str">
        <f t="shared" si="2"/>
        <v>27</v>
      </c>
      <c r="AA21" t="s">
        <v>1860</v>
      </c>
      <c r="AB21" t="s">
        <v>1874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24:39" x14ac:dyDescent="0.25">
      <c r="X22" s="449" t="str">
        <f t="shared" si="0"/>
        <v>20</v>
      </c>
      <c r="Y22" s="449" t="str">
        <f t="shared" si="1"/>
        <v>900</v>
      </c>
      <c r="Z22" s="449" t="str">
        <f t="shared" si="2"/>
        <v>27</v>
      </c>
      <c r="AA22" t="s">
        <v>1860</v>
      </c>
      <c r="AB22" t="s">
        <v>1877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24:39" x14ac:dyDescent="0.25">
      <c r="X23" s="449" t="str">
        <f t="shared" si="0"/>
        <v>30</v>
      </c>
      <c r="Y23" s="449" t="str">
        <f t="shared" si="1"/>
        <v>300</v>
      </c>
      <c r="Z23" s="449" t="str">
        <f t="shared" si="2"/>
        <v>31</v>
      </c>
      <c r="AA23" t="s">
        <v>1861</v>
      </c>
      <c r="AB23" t="s">
        <v>1871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24:39" x14ac:dyDescent="0.25">
      <c r="X24" s="449" t="str">
        <f t="shared" si="0"/>
        <v>30</v>
      </c>
      <c r="Y24" s="449" t="str">
        <f t="shared" si="1"/>
        <v>300</v>
      </c>
      <c r="Z24" s="449" t="str">
        <f t="shared" si="2"/>
        <v>31</v>
      </c>
      <c r="AA24" t="s">
        <v>1861</v>
      </c>
      <c r="AB24" t="s">
        <v>1872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24:39" x14ac:dyDescent="0.25">
      <c r="X25" s="449" t="str">
        <f t="shared" si="0"/>
        <v>30</v>
      </c>
      <c r="Y25" s="449" t="str">
        <f t="shared" si="1"/>
        <v>800</v>
      </c>
      <c r="Z25" s="449" t="str">
        <f t="shared" si="2"/>
        <v>31</v>
      </c>
      <c r="AA25" t="s">
        <v>1861</v>
      </c>
      <c r="AB25" t="s">
        <v>1876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24:39" x14ac:dyDescent="0.25">
      <c r="X26" s="449" t="str">
        <f t="shared" si="0"/>
        <v>30</v>
      </c>
      <c r="Y26" s="449" t="str">
        <f t="shared" si="1"/>
        <v>300</v>
      </c>
      <c r="Z26" s="449" t="str">
        <f t="shared" si="2"/>
        <v>33</v>
      </c>
      <c r="AA26" t="s">
        <v>1862</v>
      </c>
      <c r="AB26" t="s">
        <v>1871</v>
      </c>
      <c r="AC26">
        <v>196256.74</v>
      </c>
      <c r="AD26">
        <v>143171.82999999999</v>
      </c>
      <c r="AE26">
        <v>53183.839999999997</v>
      </c>
      <c r="AF26">
        <v>4076.27</v>
      </c>
      <c r="AG26">
        <v>37725</v>
      </c>
      <c r="AH26">
        <v>38479.5</v>
      </c>
      <c r="AI26">
        <v>39056.69</v>
      </c>
      <c r="AJ26">
        <v>39642.54</v>
      </c>
      <c r="AK26">
        <v>40237.18</v>
      </c>
      <c r="AL26">
        <v>40840.74</v>
      </c>
      <c r="AM26">
        <v>41453.35</v>
      </c>
    </row>
    <row r="27" spans="24:39" x14ac:dyDescent="0.25">
      <c r="X27" s="449" t="str">
        <f t="shared" si="0"/>
        <v>30</v>
      </c>
      <c r="Y27" s="449" t="str">
        <f t="shared" si="1"/>
        <v>300</v>
      </c>
      <c r="Z27" s="449" t="str">
        <f t="shared" si="2"/>
        <v>33</v>
      </c>
      <c r="AA27" t="s">
        <v>1862</v>
      </c>
      <c r="AB27" t="s">
        <v>1872</v>
      </c>
      <c r="AC27">
        <v>1241579.44</v>
      </c>
      <c r="AD27">
        <v>1118797.93</v>
      </c>
      <c r="AE27">
        <v>271928.78999999998</v>
      </c>
      <c r="AF27">
        <v>0</v>
      </c>
      <c r="AG27">
        <v>1531.97</v>
      </c>
      <c r="AH27">
        <v>1562.61</v>
      </c>
      <c r="AI27">
        <v>1586.05</v>
      </c>
      <c r="AJ27">
        <v>1609.84</v>
      </c>
      <c r="AK27">
        <v>1633.99</v>
      </c>
      <c r="AL27">
        <v>1658.5</v>
      </c>
      <c r="AM27">
        <v>1683.37</v>
      </c>
    </row>
    <row r="28" spans="24:39" x14ac:dyDescent="0.25">
      <c r="X28" s="449" t="str">
        <f t="shared" si="0"/>
        <v>30</v>
      </c>
      <c r="Y28" s="449" t="str">
        <f t="shared" si="1"/>
        <v>600</v>
      </c>
      <c r="Z28" s="449" t="str">
        <f t="shared" si="2"/>
        <v>33</v>
      </c>
      <c r="AA28" t="s">
        <v>1862</v>
      </c>
      <c r="AB28" t="s">
        <v>1874</v>
      </c>
      <c r="AC28">
        <v>685.22</v>
      </c>
      <c r="AD28">
        <v>3566.56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24:39" x14ac:dyDescent="0.25">
      <c r="X29" s="449" t="str">
        <f t="shared" si="0"/>
        <v>30</v>
      </c>
      <c r="Y29" s="449" t="str">
        <f t="shared" si="1"/>
        <v>700</v>
      </c>
      <c r="Z29" s="449" t="str">
        <f t="shared" si="2"/>
        <v>33</v>
      </c>
      <c r="AA29" t="s">
        <v>1862</v>
      </c>
      <c r="AB29" t="s">
        <v>1875</v>
      </c>
      <c r="AC29">
        <v>336601.63</v>
      </c>
      <c r="AD29">
        <v>290061.08</v>
      </c>
      <c r="AE29">
        <v>154101.74</v>
      </c>
      <c r="AF29">
        <v>307464.95</v>
      </c>
      <c r="AG29">
        <v>146841.22</v>
      </c>
      <c r="AH29">
        <v>149778.04999999999</v>
      </c>
      <c r="AI29">
        <v>152024.72</v>
      </c>
      <c r="AJ29">
        <v>154305.09</v>
      </c>
      <c r="AK29">
        <v>156619.67000000001</v>
      </c>
      <c r="AL29">
        <v>158968.95999999999</v>
      </c>
      <c r="AM29">
        <v>161353.5</v>
      </c>
    </row>
    <row r="30" spans="24:39" x14ac:dyDescent="0.25">
      <c r="X30" s="449" t="str">
        <f t="shared" si="0"/>
        <v>30</v>
      </c>
      <c r="Y30" s="449" t="str">
        <f t="shared" si="1"/>
        <v>800</v>
      </c>
      <c r="Z30" s="449" t="str">
        <f t="shared" si="2"/>
        <v>33</v>
      </c>
      <c r="AA30" t="s">
        <v>1862</v>
      </c>
      <c r="AB30" t="s">
        <v>1876</v>
      </c>
      <c r="AC30">
        <v>0</v>
      </c>
      <c r="AD30">
        <v>1000</v>
      </c>
      <c r="AE30">
        <v>1000</v>
      </c>
      <c r="AF30">
        <v>1000</v>
      </c>
      <c r="AG30">
        <v>1000</v>
      </c>
      <c r="AH30">
        <v>1000</v>
      </c>
      <c r="AI30">
        <v>1015</v>
      </c>
      <c r="AJ30">
        <v>1030.22</v>
      </c>
      <c r="AK30">
        <v>1045.68</v>
      </c>
      <c r="AL30">
        <v>1061.3599999999999</v>
      </c>
      <c r="AM30">
        <v>1077.28</v>
      </c>
    </row>
    <row r="31" spans="24:39" x14ac:dyDescent="0.25">
      <c r="X31" s="449" t="str">
        <f t="shared" si="0"/>
        <v>30</v>
      </c>
      <c r="Y31" s="449" t="str">
        <f t="shared" si="1"/>
        <v>900</v>
      </c>
      <c r="Z31" s="449" t="str">
        <f t="shared" si="2"/>
        <v>33</v>
      </c>
      <c r="AA31" t="s">
        <v>1862</v>
      </c>
      <c r="AB31" t="s">
        <v>1877</v>
      </c>
      <c r="AC31">
        <v>308627.75</v>
      </c>
      <c r="AD31">
        <v>223587.6</v>
      </c>
      <c r="AE31">
        <v>304265.27</v>
      </c>
      <c r="AF31">
        <v>302606.73</v>
      </c>
      <c r="AG31">
        <v>288174.84999999998</v>
      </c>
      <c r="AH31">
        <v>288032.90000000002</v>
      </c>
      <c r="AI31">
        <v>292353.39</v>
      </c>
      <c r="AJ31">
        <v>296738.69</v>
      </c>
      <c r="AK31">
        <v>301189.77</v>
      </c>
      <c r="AL31">
        <v>305707.62</v>
      </c>
      <c r="AM31">
        <v>310293.24</v>
      </c>
    </row>
    <row r="32" spans="24:39" x14ac:dyDescent="0.25">
      <c r="X32" s="449" t="str">
        <f t="shared" si="0"/>
        <v>30</v>
      </c>
      <c r="Y32" s="449" t="str">
        <f t="shared" si="1"/>
        <v>300</v>
      </c>
      <c r="Z32" s="449" t="str">
        <f t="shared" si="2"/>
        <v>34</v>
      </c>
      <c r="AA32" t="s">
        <v>1863</v>
      </c>
      <c r="AB32" t="s">
        <v>1871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24:39" x14ac:dyDescent="0.25">
      <c r="X33" s="449" t="str">
        <f t="shared" si="0"/>
        <v>30</v>
      </c>
      <c r="Y33" s="449" t="str">
        <f t="shared" si="1"/>
        <v>300</v>
      </c>
      <c r="Z33" s="449" t="str">
        <f t="shared" si="2"/>
        <v>34</v>
      </c>
      <c r="AA33" t="s">
        <v>1863</v>
      </c>
      <c r="AB33" t="s">
        <v>1872</v>
      </c>
      <c r="AC33">
        <v>0</v>
      </c>
      <c r="AD33">
        <v>0</v>
      </c>
      <c r="AE33">
        <v>0</v>
      </c>
      <c r="AF33">
        <v>0</v>
      </c>
      <c r="AG33">
        <v>8996.93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24:39" x14ac:dyDescent="0.25">
      <c r="X34" s="449" t="str">
        <f t="shared" si="0"/>
        <v>30</v>
      </c>
      <c r="Y34" s="449" t="str">
        <f t="shared" si="1"/>
        <v>600</v>
      </c>
      <c r="Z34" s="449" t="str">
        <f t="shared" si="2"/>
        <v>34</v>
      </c>
      <c r="AA34" t="s">
        <v>1863</v>
      </c>
      <c r="AB34" t="s">
        <v>1874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24:39" x14ac:dyDescent="0.25">
      <c r="X35" s="449" t="str">
        <f t="shared" si="0"/>
        <v>30</v>
      </c>
      <c r="Y35" s="449" t="str">
        <f t="shared" si="1"/>
        <v>700</v>
      </c>
      <c r="Z35" s="449" t="str">
        <f t="shared" si="2"/>
        <v>34</v>
      </c>
      <c r="AA35" t="s">
        <v>1863</v>
      </c>
      <c r="AB35" t="s">
        <v>1875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24:39" x14ac:dyDescent="0.25">
      <c r="X36" s="449" t="str">
        <f t="shared" si="0"/>
        <v>30</v>
      </c>
      <c r="Y36" s="449" t="str">
        <f t="shared" si="1"/>
        <v>800</v>
      </c>
      <c r="Z36" s="449" t="str">
        <f t="shared" si="2"/>
        <v>34</v>
      </c>
      <c r="AA36" t="s">
        <v>1863</v>
      </c>
      <c r="AB36" t="s">
        <v>1876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24:39" x14ac:dyDescent="0.25">
      <c r="X37" s="449" t="str">
        <f t="shared" si="0"/>
        <v>30</v>
      </c>
      <c r="Y37" s="449" t="str">
        <f t="shared" si="1"/>
        <v>900</v>
      </c>
      <c r="Z37" s="449" t="str">
        <f t="shared" si="2"/>
        <v>34</v>
      </c>
      <c r="AA37" t="s">
        <v>1863</v>
      </c>
      <c r="AB37" t="s">
        <v>1877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24:39" x14ac:dyDescent="0.25">
      <c r="X38" s="449" t="str">
        <f t="shared" si="0"/>
        <v>36</v>
      </c>
      <c r="Y38" s="449" t="str">
        <f t="shared" si="1"/>
        <v>300</v>
      </c>
      <c r="Z38" s="449" t="str">
        <f t="shared" si="2"/>
        <v>36</v>
      </c>
      <c r="AA38" t="s">
        <v>1864</v>
      </c>
      <c r="AB38" t="s">
        <v>1871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24:39" x14ac:dyDescent="0.25">
      <c r="X39" s="449" t="str">
        <f t="shared" si="0"/>
        <v>36</v>
      </c>
      <c r="Y39" s="449" t="str">
        <f t="shared" si="1"/>
        <v>300</v>
      </c>
      <c r="Z39" s="449" t="str">
        <f t="shared" si="2"/>
        <v>36</v>
      </c>
      <c r="AA39" t="s">
        <v>1864</v>
      </c>
      <c r="AB39" t="s">
        <v>1872</v>
      </c>
      <c r="AC39">
        <v>0</v>
      </c>
      <c r="AD39">
        <v>0</v>
      </c>
      <c r="AE39">
        <v>0</v>
      </c>
      <c r="AF39">
        <v>86242.83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24:39" x14ac:dyDescent="0.25">
      <c r="X40" s="449" t="str">
        <f t="shared" si="0"/>
        <v>36</v>
      </c>
      <c r="Y40" s="449" t="str">
        <f t="shared" si="1"/>
        <v>700</v>
      </c>
      <c r="Z40" s="449" t="str">
        <f t="shared" si="2"/>
        <v>36</v>
      </c>
      <c r="AA40" t="s">
        <v>1864</v>
      </c>
      <c r="AB40" t="s">
        <v>1875</v>
      </c>
      <c r="AC40">
        <v>0</v>
      </c>
      <c r="AD40">
        <v>0</v>
      </c>
      <c r="AE40">
        <v>50363.21</v>
      </c>
      <c r="AF40">
        <v>173096.04</v>
      </c>
      <c r="AG40">
        <v>73863.649999999994</v>
      </c>
      <c r="AH40">
        <v>75340.92</v>
      </c>
      <c r="AI40">
        <v>76471.03</v>
      </c>
      <c r="AJ40">
        <v>77618.100000000006</v>
      </c>
      <c r="AK40">
        <v>78782.37</v>
      </c>
      <c r="AL40">
        <v>79964.11</v>
      </c>
      <c r="AM40">
        <v>81163.570000000007</v>
      </c>
    </row>
    <row r="41" spans="24:39" x14ac:dyDescent="0.25">
      <c r="X41" s="449" t="str">
        <f t="shared" si="0"/>
        <v>40</v>
      </c>
      <c r="Y41" s="449" t="str">
        <f t="shared" si="1"/>
        <v>300</v>
      </c>
      <c r="Z41" s="449" t="str">
        <f t="shared" si="2"/>
        <v>40</v>
      </c>
      <c r="AA41" t="s">
        <v>1865</v>
      </c>
      <c r="AB41" t="s">
        <v>1871</v>
      </c>
      <c r="AC41">
        <v>0</v>
      </c>
      <c r="AD41">
        <v>750</v>
      </c>
      <c r="AE41">
        <v>0</v>
      </c>
      <c r="AF41">
        <v>0</v>
      </c>
      <c r="AG41">
        <v>0</v>
      </c>
      <c r="AH41">
        <v>0</v>
      </c>
      <c r="AI41">
        <v>625000</v>
      </c>
      <c r="AJ41">
        <v>638000</v>
      </c>
      <c r="AK41">
        <v>640000</v>
      </c>
      <c r="AL41">
        <v>657000</v>
      </c>
      <c r="AM41">
        <v>664000</v>
      </c>
    </row>
    <row r="42" spans="24:39" x14ac:dyDescent="0.25">
      <c r="X42" s="449" t="str">
        <f t="shared" si="0"/>
        <v>40</v>
      </c>
      <c r="Y42" s="449" t="str">
        <f t="shared" si="1"/>
        <v>800</v>
      </c>
      <c r="Z42" s="449" t="str">
        <f t="shared" si="2"/>
        <v>40</v>
      </c>
      <c r="AA42" t="s">
        <v>1865</v>
      </c>
      <c r="AB42" t="s">
        <v>1876</v>
      </c>
      <c r="AC42">
        <v>124813.11</v>
      </c>
      <c r="AD42">
        <v>222837.6</v>
      </c>
      <c r="AE42">
        <v>305266.75</v>
      </c>
      <c r="AF42">
        <v>289641.87</v>
      </c>
      <c r="AG42">
        <v>290032.90000000002</v>
      </c>
      <c r="AH42">
        <v>288032.90000000002</v>
      </c>
      <c r="AI42">
        <v>292353.39</v>
      </c>
      <c r="AJ42">
        <v>296738.69</v>
      </c>
      <c r="AK42">
        <v>301189.77</v>
      </c>
      <c r="AL42">
        <v>305707.62</v>
      </c>
      <c r="AM42">
        <v>310293.24</v>
      </c>
    </row>
    <row r="43" spans="24:39" x14ac:dyDescent="0.25">
      <c r="X43" s="449" t="str">
        <f t="shared" si="0"/>
        <v>61</v>
      </c>
      <c r="Y43" s="449" t="str">
        <f t="shared" si="1"/>
        <v>100</v>
      </c>
      <c r="Z43" s="449" t="str">
        <f t="shared" si="2"/>
        <v>61</v>
      </c>
      <c r="AA43" t="s">
        <v>1866</v>
      </c>
      <c r="AB43" t="s">
        <v>1869</v>
      </c>
      <c r="AC43">
        <v>123237.33</v>
      </c>
      <c r="AD43">
        <v>121439.82</v>
      </c>
      <c r="AE43">
        <v>124492.24</v>
      </c>
      <c r="AF43">
        <v>129497.95</v>
      </c>
      <c r="AG43">
        <v>123440.73</v>
      </c>
      <c r="AH43">
        <v>138733.92000000001</v>
      </c>
      <c r="AI43">
        <v>140814.93</v>
      </c>
      <c r="AJ43">
        <v>142927.15</v>
      </c>
      <c r="AK43">
        <v>145071.06</v>
      </c>
      <c r="AL43">
        <v>147247.13</v>
      </c>
      <c r="AM43">
        <v>149455.82999999999</v>
      </c>
    </row>
    <row r="44" spans="24:39" x14ac:dyDescent="0.25">
      <c r="X44" s="449" t="str">
        <f t="shared" si="0"/>
        <v>61</v>
      </c>
      <c r="Y44" s="449" t="str">
        <f t="shared" si="1"/>
        <v>200</v>
      </c>
      <c r="Z44" s="449" t="str">
        <f t="shared" si="2"/>
        <v>61</v>
      </c>
      <c r="AA44" t="s">
        <v>1866</v>
      </c>
      <c r="AB44" t="s">
        <v>1870</v>
      </c>
      <c r="AC44">
        <v>21662.38</v>
      </c>
      <c r="AD44">
        <v>21944.35</v>
      </c>
      <c r="AE44">
        <v>17687.03</v>
      </c>
      <c r="AF44">
        <v>17382.04</v>
      </c>
      <c r="AG44">
        <v>28569.15</v>
      </c>
      <c r="AH44">
        <v>29337.48</v>
      </c>
      <c r="AI44">
        <v>29777.54</v>
      </c>
      <c r="AJ44">
        <v>30224.21</v>
      </c>
      <c r="AK44">
        <v>30677.57</v>
      </c>
      <c r="AL44">
        <v>31137.73</v>
      </c>
      <c r="AM44">
        <v>31604.799999999999</v>
      </c>
    </row>
    <row r="45" spans="24:39" x14ac:dyDescent="0.25">
      <c r="X45" s="449" t="str">
        <f t="shared" si="0"/>
        <v>61</v>
      </c>
      <c r="Y45" s="449" t="str">
        <f t="shared" si="1"/>
        <v>300</v>
      </c>
      <c r="Z45" s="449" t="str">
        <f t="shared" si="2"/>
        <v>61</v>
      </c>
      <c r="AA45" t="s">
        <v>1866</v>
      </c>
      <c r="AB45" t="s">
        <v>1871</v>
      </c>
      <c r="AC45">
        <v>0</v>
      </c>
      <c r="AD45">
        <v>0</v>
      </c>
      <c r="AE45">
        <v>0</v>
      </c>
      <c r="AF45">
        <v>0</v>
      </c>
      <c r="AG45">
        <v>143.80000000000001</v>
      </c>
      <c r="AH45">
        <v>146.68</v>
      </c>
      <c r="AI45">
        <v>148.88</v>
      </c>
      <c r="AJ45">
        <v>151.11000000000001</v>
      </c>
      <c r="AK45">
        <v>153.38</v>
      </c>
      <c r="AL45">
        <v>155.68</v>
      </c>
      <c r="AM45">
        <v>158.02000000000001</v>
      </c>
    </row>
    <row r="46" spans="24:39" x14ac:dyDescent="0.25">
      <c r="X46" s="449" t="str">
        <f t="shared" si="0"/>
        <v>61</v>
      </c>
      <c r="Y46" s="449" t="str">
        <f t="shared" si="1"/>
        <v>300</v>
      </c>
      <c r="Z46" s="449" t="str">
        <f t="shared" si="2"/>
        <v>61</v>
      </c>
      <c r="AA46" t="s">
        <v>1866</v>
      </c>
      <c r="AB46" t="s">
        <v>1872</v>
      </c>
      <c r="AC46">
        <v>2234.85</v>
      </c>
      <c r="AD46">
        <v>2303.2800000000002</v>
      </c>
      <c r="AE46">
        <v>218.29</v>
      </c>
      <c r="AF46">
        <v>3830.08</v>
      </c>
      <c r="AG46">
        <v>2906.88</v>
      </c>
      <c r="AH46">
        <v>2965.02</v>
      </c>
      <c r="AI46">
        <v>3009.5</v>
      </c>
      <c r="AJ46">
        <v>3054.64</v>
      </c>
      <c r="AK46">
        <v>3100.46</v>
      </c>
      <c r="AL46">
        <v>3146.96</v>
      </c>
      <c r="AM46">
        <v>3194.17</v>
      </c>
    </row>
    <row r="47" spans="24:39" x14ac:dyDescent="0.25">
      <c r="X47" s="449" t="str">
        <f t="shared" si="0"/>
        <v>61</v>
      </c>
      <c r="Y47" s="449" t="str">
        <f t="shared" si="1"/>
        <v>300</v>
      </c>
      <c r="Z47" s="449" t="str">
        <f t="shared" si="2"/>
        <v>61</v>
      </c>
      <c r="AA47" t="s">
        <v>1866</v>
      </c>
      <c r="AB47" t="s">
        <v>1873</v>
      </c>
      <c r="AC47">
        <v>345.35</v>
      </c>
      <c r="AD47">
        <v>0</v>
      </c>
      <c r="AE47">
        <v>150</v>
      </c>
      <c r="AF47">
        <v>1024.51</v>
      </c>
      <c r="AG47">
        <v>388.36</v>
      </c>
      <c r="AH47">
        <v>396.13</v>
      </c>
      <c r="AI47">
        <v>402.07</v>
      </c>
      <c r="AJ47">
        <v>408.1</v>
      </c>
      <c r="AK47">
        <v>414.22</v>
      </c>
      <c r="AL47">
        <v>420.44</v>
      </c>
      <c r="AM47">
        <v>426.74</v>
      </c>
    </row>
    <row r="48" spans="24:39" x14ac:dyDescent="0.25">
      <c r="X48" s="449" t="str">
        <f t="shared" si="0"/>
        <v>61</v>
      </c>
      <c r="Y48" s="449" t="str">
        <f t="shared" si="1"/>
        <v>600</v>
      </c>
      <c r="Z48" s="449" t="str">
        <f t="shared" si="2"/>
        <v>61</v>
      </c>
      <c r="AA48" t="s">
        <v>1866</v>
      </c>
      <c r="AB48" t="s">
        <v>1874</v>
      </c>
      <c r="AC48">
        <v>195621.38</v>
      </c>
      <c r="AD48">
        <v>203744.55</v>
      </c>
      <c r="AE48">
        <v>184644.42</v>
      </c>
      <c r="AF48">
        <v>174882.78</v>
      </c>
      <c r="AG48">
        <v>181271.43</v>
      </c>
      <c r="AH48">
        <v>184896.86</v>
      </c>
      <c r="AI48">
        <v>187670.31</v>
      </c>
      <c r="AJ48">
        <v>190485.37</v>
      </c>
      <c r="AK48">
        <v>193342.65</v>
      </c>
      <c r="AL48">
        <v>196242.79</v>
      </c>
      <c r="AM48">
        <v>199186.43</v>
      </c>
    </row>
    <row r="49" spans="24:39" x14ac:dyDescent="0.25">
      <c r="X49" s="449" t="str">
        <f t="shared" si="0"/>
        <v>61</v>
      </c>
      <c r="Y49" s="449" t="str">
        <f t="shared" si="1"/>
        <v>700</v>
      </c>
      <c r="Z49" s="449" t="str">
        <f t="shared" si="2"/>
        <v>61</v>
      </c>
      <c r="AA49" t="s">
        <v>1866</v>
      </c>
      <c r="AB49" t="s">
        <v>1875</v>
      </c>
      <c r="AC49">
        <v>6406.88</v>
      </c>
      <c r="AD49">
        <v>934.99</v>
      </c>
      <c r="AE49">
        <v>4162.93</v>
      </c>
      <c r="AF49">
        <v>4139.13</v>
      </c>
      <c r="AG49">
        <v>3968.29</v>
      </c>
      <c r="AH49">
        <v>4047.66</v>
      </c>
      <c r="AI49">
        <v>4108.37</v>
      </c>
      <c r="AJ49">
        <v>4170</v>
      </c>
      <c r="AK49">
        <v>4232.55</v>
      </c>
      <c r="AL49">
        <v>4296.04</v>
      </c>
      <c r="AM49">
        <v>4360.4799999999996</v>
      </c>
    </row>
    <row r="50" spans="24:39" x14ac:dyDescent="0.25">
      <c r="X50" s="449" t="str">
        <f t="shared" si="0"/>
        <v>61</v>
      </c>
      <c r="Y50" s="449" t="str">
        <f t="shared" si="1"/>
        <v>800</v>
      </c>
      <c r="Z50" s="449" t="str">
        <f t="shared" si="2"/>
        <v>61</v>
      </c>
      <c r="AA50" t="s">
        <v>1866</v>
      </c>
      <c r="AB50" t="s">
        <v>1876</v>
      </c>
      <c r="AC50">
        <v>747.79</v>
      </c>
      <c r="AD50">
        <v>908.27</v>
      </c>
      <c r="AE50">
        <v>920.01</v>
      </c>
      <c r="AF50">
        <v>1202.6600000000001</v>
      </c>
      <c r="AG50">
        <v>1324.25</v>
      </c>
      <c r="AH50">
        <v>1350.74</v>
      </c>
      <c r="AI50">
        <v>1371</v>
      </c>
      <c r="AJ50">
        <v>1391.57</v>
      </c>
      <c r="AK50">
        <v>1412.44</v>
      </c>
      <c r="AL50">
        <v>1433.63</v>
      </c>
      <c r="AM50">
        <v>1455.13</v>
      </c>
    </row>
    <row r="51" spans="24:39" x14ac:dyDescent="0.25">
      <c r="X51" s="449" t="str">
        <f t="shared" si="0"/>
        <v>61</v>
      </c>
      <c r="Y51" s="449" t="str">
        <f t="shared" si="1"/>
        <v>900</v>
      </c>
      <c r="Z51" s="449" t="str">
        <f t="shared" si="2"/>
        <v>61</v>
      </c>
      <c r="AA51" t="s">
        <v>1866</v>
      </c>
      <c r="AB51" t="s">
        <v>1877</v>
      </c>
      <c r="AC51">
        <v>0</v>
      </c>
      <c r="AD51">
        <v>0</v>
      </c>
      <c r="AE51">
        <v>96626.47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24:39" x14ac:dyDescent="0.25">
      <c r="X52" s="449" t="str">
        <f t="shared" si="0"/>
        <v>70</v>
      </c>
      <c r="Y52" s="449" t="str">
        <f t="shared" si="1"/>
        <v>200</v>
      </c>
      <c r="Z52" s="449" t="str">
        <f t="shared" si="2"/>
        <v>71</v>
      </c>
      <c r="AA52" t="s">
        <v>1867</v>
      </c>
      <c r="AB52" t="s">
        <v>1870</v>
      </c>
      <c r="AC52">
        <v>0</v>
      </c>
      <c r="AD52">
        <v>0</v>
      </c>
      <c r="AE52">
        <v>0</v>
      </c>
      <c r="AF52">
        <v>0</v>
      </c>
      <c r="AG52">
        <v>17646.39</v>
      </c>
      <c r="AH52">
        <v>17999.32</v>
      </c>
      <c r="AI52">
        <v>18269.310000000001</v>
      </c>
      <c r="AJ52">
        <v>18543.349999999999</v>
      </c>
      <c r="AK52">
        <v>18821.5</v>
      </c>
      <c r="AL52">
        <v>19103.82</v>
      </c>
      <c r="AM52">
        <v>19390.38</v>
      </c>
    </row>
    <row r="53" spans="24:39" x14ac:dyDescent="0.25">
      <c r="X53" s="449" t="str">
        <f t="shared" si="0"/>
        <v>80</v>
      </c>
      <c r="Y53" s="449" t="str">
        <f t="shared" si="1"/>
        <v>800</v>
      </c>
      <c r="Z53" s="449" t="str">
        <f t="shared" si="2"/>
        <v>81</v>
      </c>
      <c r="AA53" t="s">
        <v>1868</v>
      </c>
      <c r="AB53" t="s">
        <v>1876</v>
      </c>
      <c r="AC53">
        <v>0</v>
      </c>
      <c r="AD53">
        <v>0</v>
      </c>
      <c r="AE53">
        <v>0</v>
      </c>
      <c r="AF53">
        <v>12000</v>
      </c>
      <c r="AG53">
        <v>6600</v>
      </c>
      <c r="AH53">
        <v>6600</v>
      </c>
      <c r="AI53">
        <v>6699</v>
      </c>
      <c r="AJ53">
        <v>6799.48</v>
      </c>
      <c r="AK53">
        <v>6901.48</v>
      </c>
      <c r="AL53">
        <v>7005</v>
      </c>
      <c r="AM53">
        <v>7110.07</v>
      </c>
    </row>
    <row r="54" spans="24:39" x14ac:dyDescent="0.25">
      <c r="X54" s="449" t="str">
        <f t="shared" si="0"/>
        <v/>
      </c>
      <c r="Y54" s="449" t="str">
        <f t="shared" si="1"/>
        <v/>
      </c>
      <c r="Z54" s="449" t="str">
        <f t="shared" si="2"/>
        <v/>
      </c>
    </row>
    <row r="55" spans="24:39" x14ac:dyDescent="0.25">
      <c r="X55" s="449" t="str">
        <f t="shared" si="0"/>
        <v/>
      </c>
      <c r="Y55" s="449" t="str">
        <f t="shared" si="1"/>
        <v/>
      </c>
      <c r="Z55" s="449" t="str">
        <f t="shared" si="2"/>
        <v/>
      </c>
    </row>
    <row r="56" spans="24:39" x14ac:dyDescent="0.25">
      <c r="X56" s="449" t="str">
        <f t="shared" si="0"/>
        <v/>
      </c>
      <c r="Y56" s="449" t="str">
        <f t="shared" si="1"/>
        <v/>
      </c>
      <c r="Z56" s="449" t="str">
        <f t="shared" si="2"/>
        <v/>
      </c>
    </row>
    <row r="57" spans="24:39" x14ac:dyDescent="0.25">
      <c r="X57" s="449" t="str">
        <f t="shared" si="0"/>
        <v/>
      </c>
      <c r="Y57" s="449" t="str">
        <f t="shared" si="1"/>
        <v/>
      </c>
      <c r="Z57" s="449" t="str">
        <f t="shared" si="2"/>
        <v/>
      </c>
    </row>
    <row r="58" spans="24:39" x14ac:dyDescent="0.25">
      <c r="X58" s="449" t="str">
        <f t="shared" si="0"/>
        <v/>
      </c>
      <c r="Y58" s="449" t="str">
        <f t="shared" si="1"/>
        <v/>
      </c>
      <c r="Z58" s="449" t="str">
        <f t="shared" si="2"/>
        <v/>
      </c>
    </row>
    <row r="59" spans="24:39" x14ac:dyDescent="0.25">
      <c r="X59" s="449" t="str">
        <f t="shared" si="0"/>
        <v/>
      </c>
      <c r="Y59" s="449" t="str">
        <f t="shared" si="1"/>
        <v/>
      </c>
      <c r="Z59" s="449" t="str">
        <f t="shared" si="2"/>
        <v/>
      </c>
    </row>
    <row r="60" spans="24:39" x14ac:dyDescent="0.25">
      <c r="X60" s="449" t="str">
        <f t="shared" si="0"/>
        <v/>
      </c>
      <c r="Y60" s="449" t="str">
        <f t="shared" si="1"/>
        <v/>
      </c>
      <c r="Z60" s="449" t="str">
        <f t="shared" si="2"/>
        <v/>
      </c>
    </row>
    <row r="61" spans="24:39" x14ac:dyDescent="0.25">
      <c r="X61" s="449" t="str">
        <f t="shared" si="0"/>
        <v/>
      </c>
      <c r="Y61" s="449" t="str">
        <f t="shared" si="1"/>
        <v/>
      </c>
      <c r="Z61" s="449" t="str">
        <f t="shared" si="2"/>
        <v/>
      </c>
    </row>
    <row r="62" spans="24:39" x14ac:dyDescent="0.25">
      <c r="X62" s="449" t="str">
        <f t="shared" si="0"/>
        <v/>
      </c>
      <c r="Y62" s="449" t="str">
        <f t="shared" si="1"/>
        <v/>
      </c>
      <c r="Z62" s="449" t="str">
        <f t="shared" si="2"/>
        <v/>
      </c>
    </row>
    <row r="63" spans="24:39" x14ac:dyDescent="0.25">
      <c r="X63" s="449" t="str">
        <f t="shared" si="0"/>
        <v/>
      </c>
      <c r="Y63" s="449" t="str">
        <f t="shared" si="1"/>
        <v/>
      </c>
      <c r="Z63" s="449" t="str">
        <f t="shared" si="2"/>
        <v/>
      </c>
    </row>
    <row r="64" spans="24:39" x14ac:dyDescent="0.25">
      <c r="X64" s="449" t="str">
        <f t="shared" si="0"/>
        <v/>
      </c>
      <c r="Y64" s="449" t="str">
        <f t="shared" si="1"/>
        <v/>
      </c>
      <c r="Z64" s="449" t="str">
        <f t="shared" si="2"/>
        <v/>
      </c>
    </row>
    <row r="65" spans="24:26" x14ac:dyDescent="0.25">
      <c r="X65" s="449" t="str">
        <f t="shared" si="0"/>
        <v/>
      </c>
      <c r="Y65" s="449" t="str">
        <f t="shared" si="1"/>
        <v/>
      </c>
      <c r="Z65" s="449" t="str">
        <f t="shared" si="2"/>
        <v/>
      </c>
    </row>
    <row r="66" spans="24:26" x14ac:dyDescent="0.25">
      <c r="X66" s="449" t="str">
        <f t="shared" si="0"/>
        <v/>
      </c>
      <c r="Y66" s="449" t="str">
        <f t="shared" si="1"/>
        <v/>
      </c>
      <c r="Z66" s="449" t="str">
        <f t="shared" si="2"/>
        <v/>
      </c>
    </row>
    <row r="67" spans="24:26" x14ac:dyDescent="0.25">
      <c r="X67" s="449" t="str">
        <f t="shared" si="0"/>
        <v/>
      </c>
      <c r="Y67" s="449" t="str">
        <f t="shared" si="1"/>
        <v/>
      </c>
      <c r="Z67" s="449" t="str">
        <f t="shared" si="2"/>
        <v/>
      </c>
    </row>
    <row r="68" spans="24:26" x14ac:dyDescent="0.25">
      <c r="X68" s="449" t="str">
        <f t="shared" ref="X68:X131" si="3">IF(Z68="","",IF(OR(Z68="21",Z68="22",Z68="36",Z68="61",Z68="24"),Z68,LEFT(Z68,1)&amp;"0"))</f>
        <v/>
      </c>
      <c r="Y68" s="449" t="str">
        <f t="shared" ref="Y68:Y131" si="4">IF(AB68="","",IF(OR(LEFT(AB68,1)="3",LEFT(AB68,1)="4",LEFT(AB68,1)="5"),"300",IF(OR(LEFT(AB68,1)="9",LEFT(AB68,1)="0"),"900",LEFT(AB68,3))))</f>
        <v/>
      </c>
      <c r="Z68" s="449" t="str">
        <f t="shared" ref="Z68:Z131" si="5">LEFT(AA68,2)</f>
        <v/>
      </c>
    </row>
    <row r="69" spans="24:26" x14ac:dyDescent="0.25">
      <c r="X69" s="449" t="str">
        <f t="shared" si="3"/>
        <v/>
      </c>
      <c r="Y69" s="449" t="str">
        <f t="shared" si="4"/>
        <v/>
      </c>
      <c r="Z69" s="449" t="str">
        <f t="shared" si="5"/>
        <v/>
      </c>
    </row>
    <row r="70" spans="24:26" x14ac:dyDescent="0.25">
      <c r="X70" s="449" t="str">
        <f t="shared" si="3"/>
        <v/>
      </c>
      <c r="Y70" s="449" t="str">
        <f t="shared" si="4"/>
        <v/>
      </c>
      <c r="Z70" s="449" t="str">
        <f t="shared" si="5"/>
        <v/>
      </c>
    </row>
    <row r="71" spans="24:26" x14ac:dyDescent="0.25">
      <c r="X71" s="449" t="str">
        <f t="shared" si="3"/>
        <v/>
      </c>
      <c r="Y71" s="449" t="str">
        <f t="shared" si="4"/>
        <v/>
      </c>
      <c r="Z71" s="449" t="str">
        <f t="shared" si="5"/>
        <v/>
      </c>
    </row>
    <row r="72" spans="24:26" x14ac:dyDescent="0.25">
      <c r="X72" s="449" t="str">
        <f t="shared" si="3"/>
        <v/>
      </c>
      <c r="Y72" s="449" t="str">
        <f t="shared" si="4"/>
        <v/>
      </c>
      <c r="Z72" s="449" t="str">
        <f t="shared" si="5"/>
        <v/>
      </c>
    </row>
    <row r="73" spans="24:26" x14ac:dyDescent="0.25">
      <c r="X73" s="449" t="str">
        <f t="shared" si="3"/>
        <v/>
      </c>
      <c r="Y73" s="449" t="str">
        <f t="shared" si="4"/>
        <v/>
      </c>
      <c r="Z73" s="449" t="str">
        <f t="shared" si="5"/>
        <v/>
      </c>
    </row>
    <row r="74" spans="24:26" x14ac:dyDescent="0.25">
      <c r="X74" s="449" t="str">
        <f t="shared" si="3"/>
        <v/>
      </c>
      <c r="Y74" s="449" t="str">
        <f t="shared" si="4"/>
        <v/>
      </c>
      <c r="Z74" s="449" t="str">
        <f t="shared" si="5"/>
        <v/>
      </c>
    </row>
    <row r="75" spans="24:26" x14ac:dyDescent="0.25">
      <c r="X75" s="449" t="str">
        <f t="shared" si="3"/>
        <v/>
      </c>
      <c r="Y75" s="449" t="str">
        <f t="shared" si="4"/>
        <v/>
      </c>
      <c r="Z75" s="449" t="str">
        <f t="shared" si="5"/>
        <v/>
      </c>
    </row>
    <row r="76" spans="24:26" x14ac:dyDescent="0.25">
      <c r="X76" s="449" t="str">
        <f t="shared" si="3"/>
        <v/>
      </c>
      <c r="Y76" s="449" t="str">
        <f t="shared" si="4"/>
        <v/>
      </c>
      <c r="Z76" s="449" t="str">
        <f t="shared" si="5"/>
        <v/>
      </c>
    </row>
    <row r="77" spans="24:26" x14ac:dyDescent="0.25">
      <c r="X77" s="449" t="str">
        <f t="shared" si="3"/>
        <v/>
      </c>
      <c r="Y77" s="449" t="str">
        <f t="shared" si="4"/>
        <v/>
      </c>
      <c r="Z77" s="449" t="str">
        <f t="shared" si="5"/>
        <v/>
      </c>
    </row>
    <row r="78" spans="24:26" x14ac:dyDescent="0.25">
      <c r="X78" s="449" t="str">
        <f t="shared" si="3"/>
        <v/>
      </c>
      <c r="Y78" s="449" t="str">
        <f t="shared" si="4"/>
        <v/>
      </c>
      <c r="Z78" s="449" t="str">
        <f t="shared" si="5"/>
        <v/>
      </c>
    </row>
    <row r="79" spans="24:26" x14ac:dyDescent="0.25">
      <c r="X79" s="449" t="str">
        <f t="shared" si="3"/>
        <v/>
      </c>
      <c r="Y79" s="449" t="str">
        <f t="shared" si="4"/>
        <v/>
      </c>
      <c r="Z79" s="449" t="str">
        <f t="shared" si="5"/>
        <v/>
      </c>
    </row>
    <row r="80" spans="24:26" x14ac:dyDescent="0.25">
      <c r="X80" s="449" t="str">
        <f t="shared" si="3"/>
        <v/>
      </c>
      <c r="Y80" s="449" t="str">
        <f t="shared" si="4"/>
        <v/>
      </c>
      <c r="Z80" s="449" t="str">
        <f t="shared" si="5"/>
        <v/>
      </c>
    </row>
    <row r="81" spans="24:26" x14ac:dyDescent="0.25">
      <c r="X81" s="449" t="str">
        <f t="shared" si="3"/>
        <v/>
      </c>
      <c r="Y81" s="449" t="str">
        <f t="shared" si="4"/>
        <v/>
      </c>
      <c r="Z81" s="449" t="str">
        <f t="shared" si="5"/>
        <v/>
      </c>
    </row>
    <row r="82" spans="24:26" x14ac:dyDescent="0.25">
      <c r="X82" s="449" t="str">
        <f t="shared" si="3"/>
        <v/>
      </c>
      <c r="Y82" s="449" t="str">
        <f t="shared" si="4"/>
        <v/>
      </c>
      <c r="Z82" s="449" t="str">
        <f t="shared" si="5"/>
        <v/>
      </c>
    </row>
    <row r="83" spans="24:26" x14ac:dyDescent="0.25">
      <c r="X83" s="449" t="str">
        <f t="shared" si="3"/>
        <v/>
      </c>
      <c r="Y83" s="449" t="str">
        <f t="shared" si="4"/>
        <v/>
      </c>
      <c r="Z83" s="449" t="str">
        <f t="shared" si="5"/>
        <v/>
      </c>
    </row>
    <row r="84" spans="24:26" x14ac:dyDescent="0.25">
      <c r="X84" s="449" t="str">
        <f t="shared" si="3"/>
        <v/>
      </c>
      <c r="Y84" s="449" t="str">
        <f t="shared" si="4"/>
        <v/>
      </c>
      <c r="Z84" s="449" t="str">
        <f t="shared" si="5"/>
        <v/>
      </c>
    </row>
    <row r="85" spans="24:26" x14ac:dyDescent="0.25">
      <c r="X85" s="449" t="str">
        <f t="shared" si="3"/>
        <v/>
      </c>
      <c r="Y85" s="449" t="str">
        <f t="shared" si="4"/>
        <v/>
      </c>
      <c r="Z85" s="449" t="str">
        <f t="shared" si="5"/>
        <v/>
      </c>
    </row>
    <row r="86" spans="24:26" x14ac:dyDescent="0.25">
      <c r="X86" s="449" t="str">
        <f t="shared" si="3"/>
        <v/>
      </c>
      <c r="Y86" s="449" t="str">
        <f t="shared" si="4"/>
        <v/>
      </c>
      <c r="Z86" s="449" t="str">
        <f t="shared" si="5"/>
        <v/>
      </c>
    </row>
    <row r="87" spans="24:26" x14ac:dyDescent="0.25">
      <c r="X87" s="449" t="str">
        <f t="shared" si="3"/>
        <v/>
      </c>
      <c r="Y87" s="449" t="str">
        <f t="shared" si="4"/>
        <v/>
      </c>
      <c r="Z87" s="449" t="str">
        <f t="shared" si="5"/>
        <v/>
      </c>
    </row>
    <row r="88" spans="24:26" x14ac:dyDescent="0.25">
      <c r="X88" s="449" t="str">
        <f t="shared" si="3"/>
        <v/>
      </c>
      <c r="Y88" s="449" t="str">
        <f t="shared" si="4"/>
        <v/>
      </c>
      <c r="Z88" s="449" t="str">
        <f t="shared" si="5"/>
        <v/>
      </c>
    </row>
    <row r="89" spans="24:26" x14ac:dyDescent="0.25">
      <c r="X89" s="449" t="str">
        <f t="shared" si="3"/>
        <v/>
      </c>
      <c r="Y89" s="449" t="str">
        <f t="shared" si="4"/>
        <v/>
      </c>
      <c r="Z89" s="449" t="str">
        <f t="shared" si="5"/>
        <v/>
      </c>
    </row>
    <row r="90" spans="24:26" x14ac:dyDescent="0.25">
      <c r="X90" s="449" t="str">
        <f t="shared" si="3"/>
        <v/>
      </c>
      <c r="Y90" s="449" t="str">
        <f t="shared" si="4"/>
        <v/>
      </c>
      <c r="Z90" s="449" t="str">
        <f t="shared" si="5"/>
        <v/>
      </c>
    </row>
    <row r="91" spans="24:26" x14ac:dyDescent="0.25">
      <c r="X91" s="449" t="str">
        <f t="shared" si="3"/>
        <v/>
      </c>
      <c r="Y91" s="449" t="str">
        <f t="shared" si="4"/>
        <v/>
      </c>
      <c r="Z91" s="449" t="str">
        <f t="shared" si="5"/>
        <v/>
      </c>
    </row>
    <row r="92" spans="24:26" x14ac:dyDescent="0.25">
      <c r="X92" s="449" t="str">
        <f t="shared" si="3"/>
        <v/>
      </c>
      <c r="Y92" s="449" t="str">
        <f t="shared" si="4"/>
        <v/>
      </c>
      <c r="Z92" s="449" t="str">
        <f t="shared" si="5"/>
        <v/>
      </c>
    </row>
    <row r="93" spans="24:26" x14ac:dyDescent="0.25">
      <c r="X93" s="449" t="str">
        <f t="shared" si="3"/>
        <v/>
      </c>
      <c r="Y93" s="449" t="str">
        <f t="shared" si="4"/>
        <v/>
      </c>
      <c r="Z93" s="449" t="str">
        <f t="shared" si="5"/>
        <v/>
      </c>
    </row>
    <row r="94" spans="24:26" x14ac:dyDescent="0.25">
      <c r="X94" s="449" t="str">
        <f t="shared" si="3"/>
        <v/>
      </c>
      <c r="Y94" s="449" t="str">
        <f t="shared" si="4"/>
        <v/>
      </c>
      <c r="Z94" s="449" t="str">
        <f t="shared" si="5"/>
        <v/>
      </c>
    </row>
    <row r="95" spans="24:26" x14ac:dyDescent="0.25">
      <c r="X95" s="449" t="str">
        <f t="shared" si="3"/>
        <v/>
      </c>
      <c r="Y95" s="449" t="str">
        <f t="shared" si="4"/>
        <v/>
      </c>
      <c r="Z95" s="449" t="str">
        <f t="shared" si="5"/>
        <v/>
      </c>
    </row>
    <row r="96" spans="24:26" x14ac:dyDescent="0.25">
      <c r="X96" s="449" t="str">
        <f t="shared" si="3"/>
        <v/>
      </c>
      <c r="Y96" s="449" t="str">
        <f t="shared" si="4"/>
        <v/>
      </c>
      <c r="Z96" s="449" t="str">
        <f t="shared" si="5"/>
        <v/>
      </c>
    </row>
    <row r="97" spans="24:26" x14ac:dyDescent="0.25">
      <c r="X97" s="449" t="str">
        <f t="shared" si="3"/>
        <v/>
      </c>
      <c r="Y97" s="449" t="str">
        <f t="shared" si="4"/>
        <v/>
      </c>
      <c r="Z97" s="449" t="str">
        <f t="shared" si="5"/>
        <v/>
      </c>
    </row>
    <row r="98" spans="24:26" x14ac:dyDescent="0.25">
      <c r="X98" s="449" t="str">
        <f t="shared" si="3"/>
        <v/>
      </c>
      <c r="Y98" s="449" t="str">
        <f t="shared" si="4"/>
        <v/>
      </c>
      <c r="Z98" s="449" t="str">
        <f t="shared" si="5"/>
        <v/>
      </c>
    </row>
    <row r="99" spans="24:26" x14ac:dyDescent="0.25">
      <c r="X99" s="449" t="str">
        <f t="shared" si="3"/>
        <v/>
      </c>
      <c r="Y99" s="449" t="str">
        <f t="shared" si="4"/>
        <v/>
      </c>
      <c r="Z99" s="449" t="str">
        <f t="shared" si="5"/>
        <v/>
      </c>
    </row>
    <row r="100" spans="24:26" x14ac:dyDescent="0.25">
      <c r="X100" s="449" t="str">
        <f t="shared" si="3"/>
        <v/>
      </c>
      <c r="Y100" s="449" t="str">
        <f t="shared" si="4"/>
        <v/>
      </c>
      <c r="Z100" s="449" t="str">
        <f t="shared" si="5"/>
        <v/>
      </c>
    </row>
    <row r="101" spans="24:26" x14ac:dyDescent="0.25">
      <c r="X101" s="449" t="str">
        <f t="shared" si="3"/>
        <v/>
      </c>
      <c r="Y101" s="449" t="str">
        <f t="shared" si="4"/>
        <v/>
      </c>
      <c r="Z101" s="449" t="str">
        <f t="shared" si="5"/>
        <v/>
      </c>
    </row>
    <row r="102" spans="24:26" x14ac:dyDescent="0.25">
      <c r="X102" s="449" t="str">
        <f t="shared" si="3"/>
        <v/>
      </c>
      <c r="Y102" s="449" t="str">
        <f t="shared" si="4"/>
        <v/>
      </c>
      <c r="Z102" s="449" t="str">
        <f t="shared" si="5"/>
        <v/>
      </c>
    </row>
    <row r="103" spans="24:26" x14ac:dyDescent="0.25">
      <c r="X103" s="449" t="str">
        <f t="shared" si="3"/>
        <v/>
      </c>
      <c r="Y103" s="449" t="str">
        <f t="shared" si="4"/>
        <v/>
      </c>
      <c r="Z103" s="449" t="str">
        <f t="shared" si="5"/>
        <v/>
      </c>
    </row>
    <row r="104" spans="24:26" x14ac:dyDescent="0.25">
      <c r="X104" s="449" t="str">
        <f t="shared" si="3"/>
        <v/>
      </c>
      <c r="Y104" s="449" t="str">
        <f t="shared" si="4"/>
        <v/>
      </c>
      <c r="Z104" s="449" t="str">
        <f t="shared" si="5"/>
        <v/>
      </c>
    </row>
    <row r="105" spans="24:26" x14ac:dyDescent="0.25">
      <c r="X105" s="449" t="str">
        <f t="shared" si="3"/>
        <v/>
      </c>
      <c r="Y105" s="449" t="str">
        <f t="shared" si="4"/>
        <v/>
      </c>
      <c r="Z105" s="449" t="str">
        <f t="shared" si="5"/>
        <v/>
      </c>
    </row>
    <row r="106" spans="24:26" x14ac:dyDescent="0.25">
      <c r="X106" s="449" t="str">
        <f t="shared" si="3"/>
        <v/>
      </c>
      <c r="Y106" s="449" t="str">
        <f t="shared" si="4"/>
        <v/>
      </c>
      <c r="Z106" s="449" t="str">
        <f t="shared" si="5"/>
        <v/>
      </c>
    </row>
    <row r="107" spans="24:26" x14ac:dyDescent="0.25">
      <c r="X107" s="449" t="str">
        <f t="shared" si="3"/>
        <v/>
      </c>
      <c r="Y107" s="449" t="str">
        <f t="shared" si="4"/>
        <v/>
      </c>
      <c r="Z107" s="449" t="str">
        <f t="shared" si="5"/>
        <v/>
      </c>
    </row>
    <row r="108" spans="24:26" x14ac:dyDescent="0.25">
      <c r="X108" s="449" t="str">
        <f t="shared" si="3"/>
        <v/>
      </c>
      <c r="Y108" s="449" t="str">
        <f t="shared" si="4"/>
        <v/>
      </c>
      <c r="Z108" s="449" t="str">
        <f t="shared" si="5"/>
        <v/>
      </c>
    </row>
    <row r="109" spans="24:26" x14ac:dyDescent="0.25">
      <c r="X109" s="449" t="str">
        <f t="shared" si="3"/>
        <v/>
      </c>
      <c r="Y109" s="449" t="str">
        <f t="shared" si="4"/>
        <v/>
      </c>
      <c r="Z109" s="449" t="str">
        <f t="shared" si="5"/>
        <v/>
      </c>
    </row>
    <row r="110" spans="24:26" x14ac:dyDescent="0.25">
      <c r="X110" s="449" t="str">
        <f t="shared" si="3"/>
        <v/>
      </c>
      <c r="Y110" s="449" t="str">
        <f t="shared" si="4"/>
        <v/>
      </c>
      <c r="Z110" s="449" t="str">
        <f t="shared" si="5"/>
        <v/>
      </c>
    </row>
    <row r="111" spans="24:26" x14ac:dyDescent="0.25">
      <c r="X111" s="449" t="str">
        <f t="shared" si="3"/>
        <v/>
      </c>
      <c r="Y111" s="449" t="str">
        <f t="shared" si="4"/>
        <v/>
      </c>
      <c r="Z111" s="449" t="str">
        <f t="shared" si="5"/>
        <v/>
      </c>
    </row>
    <row r="112" spans="24:26" x14ac:dyDescent="0.25">
      <c r="X112" s="449" t="str">
        <f t="shared" si="3"/>
        <v/>
      </c>
      <c r="Y112" s="449" t="str">
        <f t="shared" si="4"/>
        <v/>
      </c>
      <c r="Z112" s="449" t="str">
        <f t="shared" si="5"/>
        <v/>
      </c>
    </row>
    <row r="113" spans="24:26" x14ac:dyDescent="0.25">
      <c r="X113" s="449" t="str">
        <f t="shared" si="3"/>
        <v/>
      </c>
      <c r="Y113" s="449" t="str">
        <f t="shared" si="4"/>
        <v/>
      </c>
      <c r="Z113" s="449" t="str">
        <f t="shared" si="5"/>
        <v/>
      </c>
    </row>
    <row r="114" spans="24:26" x14ac:dyDescent="0.25">
      <c r="X114" s="449" t="str">
        <f t="shared" si="3"/>
        <v/>
      </c>
      <c r="Y114" s="449" t="str">
        <f t="shared" si="4"/>
        <v/>
      </c>
      <c r="Z114" s="449" t="str">
        <f t="shared" si="5"/>
        <v/>
      </c>
    </row>
    <row r="115" spans="24:26" x14ac:dyDescent="0.25">
      <c r="X115" s="449" t="str">
        <f t="shared" si="3"/>
        <v/>
      </c>
      <c r="Y115" s="449" t="str">
        <f t="shared" si="4"/>
        <v/>
      </c>
      <c r="Z115" s="449" t="str">
        <f t="shared" si="5"/>
        <v/>
      </c>
    </row>
    <row r="116" spans="24:26" x14ac:dyDescent="0.25">
      <c r="X116" s="449" t="str">
        <f t="shared" si="3"/>
        <v/>
      </c>
      <c r="Y116" s="449" t="str">
        <f t="shared" si="4"/>
        <v/>
      </c>
      <c r="Z116" s="449" t="str">
        <f t="shared" si="5"/>
        <v/>
      </c>
    </row>
    <row r="117" spans="24:26" x14ac:dyDescent="0.25">
      <c r="X117" s="449" t="str">
        <f t="shared" si="3"/>
        <v/>
      </c>
      <c r="Y117" s="449" t="str">
        <f t="shared" si="4"/>
        <v/>
      </c>
      <c r="Z117" s="449" t="str">
        <f t="shared" si="5"/>
        <v/>
      </c>
    </row>
    <row r="118" spans="24:26" x14ac:dyDescent="0.25">
      <c r="X118" s="449" t="str">
        <f t="shared" si="3"/>
        <v/>
      </c>
      <c r="Y118" s="449" t="str">
        <f t="shared" si="4"/>
        <v/>
      </c>
      <c r="Z118" s="449" t="str">
        <f t="shared" si="5"/>
        <v/>
      </c>
    </row>
    <row r="119" spans="24:26" x14ac:dyDescent="0.25">
      <c r="X119" s="449" t="str">
        <f t="shared" si="3"/>
        <v/>
      </c>
      <c r="Y119" s="449" t="str">
        <f t="shared" si="4"/>
        <v/>
      </c>
      <c r="Z119" s="449" t="str">
        <f t="shared" si="5"/>
        <v/>
      </c>
    </row>
    <row r="120" spans="24:26" x14ac:dyDescent="0.25">
      <c r="X120" s="449" t="str">
        <f t="shared" si="3"/>
        <v/>
      </c>
      <c r="Y120" s="449" t="str">
        <f t="shared" si="4"/>
        <v/>
      </c>
      <c r="Z120" s="449" t="str">
        <f t="shared" si="5"/>
        <v/>
      </c>
    </row>
    <row r="121" spans="24:26" x14ac:dyDescent="0.25">
      <c r="X121" s="449" t="str">
        <f t="shared" si="3"/>
        <v/>
      </c>
      <c r="Y121" s="449" t="str">
        <f t="shared" si="4"/>
        <v/>
      </c>
      <c r="Z121" s="449" t="str">
        <f t="shared" si="5"/>
        <v/>
      </c>
    </row>
    <row r="122" spans="24:26" x14ac:dyDescent="0.25">
      <c r="X122" s="449" t="str">
        <f t="shared" si="3"/>
        <v/>
      </c>
      <c r="Y122" s="449" t="str">
        <f t="shared" si="4"/>
        <v/>
      </c>
      <c r="Z122" s="449" t="str">
        <f t="shared" si="5"/>
        <v/>
      </c>
    </row>
    <row r="123" spans="24:26" x14ac:dyDescent="0.25">
      <c r="X123" s="449" t="str">
        <f t="shared" si="3"/>
        <v/>
      </c>
      <c r="Y123" s="449" t="str">
        <f t="shared" si="4"/>
        <v/>
      </c>
      <c r="Z123" s="449" t="str">
        <f t="shared" si="5"/>
        <v/>
      </c>
    </row>
    <row r="124" spans="24:26" x14ac:dyDescent="0.25">
      <c r="X124" s="449" t="str">
        <f t="shared" si="3"/>
        <v/>
      </c>
      <c r="Y124" s="449" t="str">
        <f t="shared" si="4"/>
        <v/>
      </c>
      <c r="Z124" s="449" t="str">
        <f t="shared" si="5"/>
        <v/>
      </c>
    </row>
    <row r="125" spans="24:26" x14ac:dyDescent="0.25">
      <c r="X125" s="449" t="str">
        <f t="shared" si="3"/>
        <v/>
      </c>
      <c r="Y125" s="449" t="str">
        <f t="shared" si="4"/>
        <v/>
      </c>
      <c r="Z125" s="449" t="str">
        <f t="shared" si="5"/>
        <v/>
      </c>
    </row>
    <row r="126" spans="24:26" x14ac:dyDescent="0.25">
      <c r="X126" s="449" t="str">
        <f t="shared" si="3"/>
        <v/>
      </c>
      <c r="Y126" s="449" t="str">
        <f t="shared" si="4"/>
        <v/>
      </c>
      <c r="Z126" s="449" t="str">
        <f t="shared" si="5"/>
        <v/>
      </c>
    </row>
    <row r="127" spans="24:26" x14ac:dyDescent="0.25">
      <c r="X127" s="449" t="str">
        <f t="shared" si="3"/>
        <v/>
      </c>
      <c r="Y127" s="449" t="str">
        <f t="shared" si="4"/>
        <v/>
      </c>
      <c r="Z127" s="449" t="str">
        <f t="shared" si="5"/>
        <v/>
      </c>
    </row>
    <row r="128" spans="24:26" x14ac:dyDescent="0.25">
      <c r="X128" s="449" t="str">
        <f t="shared" si="3"/>
        <v/>
      </c>
      <c r="Y128" s="449" t="str">
        <f t="shared" si="4"/>
        <v/>
      </c>
      <c r="Z128" s="449" t="str">
        <f t="shared" si="5"/>
        <v/>
      </c>
    </row>
    <row r="129" spans="24:26" x14ac:dyDescent="0.25">
      <c r="X129" s="449" t="str">
        <f t="shared" si="3"/>
        <v/>
      </c>
      <c r="Y129" s="449" t="str">
        <f t="shared" si="4"/>
        <v/>
      </c>
      <c r="Z129" s="449" t="str">
        <f t="shared" si="5"/>
        <v/>
      </c>
    </row>
    <row r="130" spans="24:26" x14ac:dyDescent="0.25">
      <c r="X130" s="449" t="str">
        <f t="shared" si="3"/>
        <v/>
      </c>
      <c r="Y130" s="449" t="str">
        <f t="shared" si="4"/>
        <v/>
      </c>
      <c r="Z130" s="449" t="str">
        <f t="shared" si="5"/>
        <v/>
      </c>
    </row>
    <row r="131" spans="24:26" x14ac:dyDescent="0.25">
      <c r="X131" s="449" t="str">
        <f t="shared" si="3"/>
        <v/>
      </c>
      <c r="Y131" s="449" t="str">
        <f t="shared" si="4"/>
        <v/>
      </c>
      <c r="Z131" s="449" t="str">
        <f t="shared" si="5"/>
        <v/>
      </c>
    </row>
    <row r="132" spans="24:26" x14ac:dyDescent="0.25">
      <c r="X132" s="449" t="str">
        <f t="shared" ref="X132:X195" si="6">IF(Z132="","",IF(OR(Z132="21",Z132="22",Z132="36",Z132="61",Z132="24"),Z132,LEFT(Z132,1)&amp;"0"))</f>
        <v/>
      </c>
      <c r="Y132" s="449" t="str">
        <f t="shared" ref="Y132:Y195" si="7">IF(AB132="","",IF(OR(LEFT(AB132,1)="3",LEFT(AB132,1)="4",LEFT(AB132,1)="5"),"300",IF(OR(LEFT(AB132,1)="9",LEFT(AB132,1)="0"),"900",LEFT(AB132,3))))</f>
        <v/>
      </c>
      <c r="Z132" s="449" t="str">
        <f t="shared" ref="Z132:Z195" si="8">LEFT(AA132,2)</f>
        <v/>
      </c>
    </row>
    <row r="133" spans="24:26" x14ac:dyDescent="0.25">
      <c r="X133" s="449" t="str">
        <f t="shared" si="6"/>
        <v/>
      </c>
      <c r="Y133" s="449" t="str">
        <f t="shared" si="7"/>
        <v/>
      </c>
      <c r="Z133" s="449" t="str">
        <f t="shared" si="8"/>
        <v/>
      </c>
    </row>
    <row r="134" spans="24:26" x14ac:dyDescent="0.25">
      <c r="X134" s="449" t="str">
        <f t="shared" si="6"/>
        <v/>
      </c>
      <c r="Y134" s="449" t="str">
        <f t="shared" si="7"/>
        <v/>
      </c>
      <c r="Z134" s="449" t="str">
        <f t="shared" si="8"/>
        <v/>
      </c>
    </row>
    <row r="135" spans="24:26" x14ac:dyDescent="0.25">
      <c r="X135" s="449" t="str">
        <f t="shared" si="6"/>
        <v/>
      </c>
      <c r="Y135" s="449" t="str">
        <f t="shared" si="7"/>
        <v/>
      </c>
      <c r="Z135" s="449" t="str">
        <f t="shared" si="8"/>
        <v/>
      </c>
    </row>
    <row r="136" spans="24:26" x14ac:dyDescent="0.25">
      <c r="X136" s="449" t="str">
        <f t="shared" si="6"/>
        <v/>
      </c>
      <c r="Y136" s="449" t="str">
        <f t="shared" si="7"/>
        <v/>
      </c>
      <c r="Z136" s="449" t="str">
        <f t="shared" si="8"/>
        <v/>
      </c>
    </row>
    <row r="137" spans="24:26" x14ac:dyDescent="0.25">
      <c r="X137" s="449" t="str">
        <f t="shared" si="6"/>
        <v/>
      </c>
      <c r="Y137" s="449" t="str">
        <f t="shared" si="7"/>
        <v/>
      </c>
      <c r="Z137" s="449" t="str">
        <f t="shared" si="8"/>
        <v/>
      </c>
    </row>
    <row r="138" spans="24:26" x14ac:dyDescent="0.25">
      <c r="X138" s="449" t="str">
        <f t="shared" si="6"/>
        <v/>
      </c>
      <c r="Y138" s="449" t="str">
        <f t="shared" si="7"/>
        <v/>
      </c>
      <c r="Z138" s="449" t="str">
        <f t="shared" si="8"/>
        <v/>
      </c>
    </row>
    <row r="139" spans="24:26" x14ac:dyDescent="0.25">
      <c r="X139" s="449" t="str">
        <f t="shared" si="6"/>
        <v/>
      </c>
      <c r="Y139" s="449" t="str">
        <f t="shared" si="7"/>
        <v/>
      </c>
      <c r="Z139" s="449" t="str">
        <f t="shared" si="8"/>
        <v/>
      </c>
    </row>
    <row r="140" spans="24:26" x14ac:dyDescent="0.25">
      <c r="X140" s="449" t="str">
        <f t="shared" si="6"/>
        <v/>
      </c>
      <c r="Y140" s="449" t="str">
        <f t="shared" si="7"/>
        <v/>
      </c>
      <c r="Z140" s="449" t="str">
        <f t="shared" si="8"/>
        <v/>
      </c>
    </row>
    <row r="141" spans="24:26" x14ac:dyDescent="0.25">
      <c r="X141" s="449" t="str">
        <f t="shared" si="6"/>
        <v/>
      </c>
      <c r="Y141" s="449" t="str">
        <f t="shared" si="7"/>
        <v/>
      </c>
      <c r="Z141" s="449" t="str">
        <f t="shared" si="8"/>
        <v/>
      </c>
    </row>
    <row r="142" spans="24:26" x14ac:dyDescent="0.25">
      <c r="X142" s="449" t="str">
        <f t="shared" si="6"/>
        <v/>
      </c>
      <c r="Y142" s="449" t="str">
        <f t="shared" si="7"/>
        <v/>
      </c>
      <c r="Z142" s="449" t="str">
        <f t="shared" si="8"/>
        <v/>
      </c>
    </row>
    <row r="143" spans="24:26" x14ac:dyDescent="0.25">
      <c r="X143" s="449" t="str">
        <f t="shared" si="6"/>
        <v/>
      </c>
      <c r="Y143" s="449" t="str">
        <f t="shared" si="7"/>
        <v/>
      </c>
      <c r="Z143" s="449" t="str">
        <f t="shared" si="8"/>
        <v/>
      </c>
    </row>
    <row r="144" spans="24:26" x14ac:dyDescent="0.25">
      <c r="X144" s="449" t="str">
        <f t="shared" si="6"/>
        <v/>
      </c>
      <c r="Y144" s="449" t="str">
        <f t="shared" si="7"/>
        <v/>
      </c>
      <c r="Z144" s="449" t="str">
        <f t="shared" si="8"/>
        <v/>
      </c>
    </row>
    <row r="145" spans="24:26" x14ac:dyDescent="0.25">
      <c r="X145" s="449" t="str">
        <f t="shared" si="6"/>
        <v/>
      </c>
      <c r="Y145" s="449" t="str">
        <f t="shared" si="7"/>
        <v/>
      </c>
      <c r="Z145" s="449" t="str">
        <f t="shared" si="8"/>
        <v/>
      </c>
    </row>
    <row r="146" spans="24:26" x14ac:dyDescent="0.25">
      <c r="X146" s="449" t="str">
        <f t="shared" si="6"/>
        <v/>
      </c>
      <c r="Y146" s="449" t="str">
        <f t="shared" si="7"/>
        <v/>
      </c>
      <c r="Z146" s="449" t="str">
        <f t="shared" si="8"/>
        <v/>
      </c>
    </row>
    <row r="147" spans="24:26" x14ac:dyDescent="0.25">
      <c r="X147" s="449" t="str">
        <f t="shared" si="6"/>
        <v/>
      </c>
      <c r="Y147" s="449" t="str">
        <f t="shared" si="7"/>
        <v/>
      </c>
      <c r="Z147" s="449" t="str">
        <f t="shared" si="8"/>
        <v/>
      </c>
    </row>
    <row r="148" spans="24:26" x14ac:dyDescent="0.25">
      <c r="X148" s="449" t="str">
        <f t="shared" si="6"/>
        <v/>
      </c>
      <c r="Y148" s="449" t="str">
        <f t="shared" si="7"/>
        <v/>
      </c>
      <c r="Z148" s="449" t="str">
        <f t="shared" si="8"/>
        <v/>
      </c>
    </row>
    <row r="149" spans="24:26" x14ac:dyDescent="0.25">
      <c r="X149" s="449" t="str">
        <f t="shared" si="6"/>
        <v/>
      </c>
      <c r="Y149" s="449" t="str">
        <f t="shared" si="7"/>
        <v/>
      </c>
      <c r="Z149" s="449" t="str">
        <f t="shared" si="8"/>
        <v/>
      </c>
    </row>
    <row r="150" spans="24:26" x14ac:dyDescent="0.25">
      <c r="X150" s="449" t="str">
        <f t="shared" si="6"/>
        <v/>
      </c>
      <c r="Y150" s="449" t="str">
        <f t="shared" si="7"/>
        <v/>
      </c>
      <c r="Z150" s="449" t="str">
        <f t="shared" si="8"/>
        <v/>
      </c>
    </row>
    <row r="151" spans="24:26" x14ac:dyDescent="0.25">
      <c r="X151" s="449" t="str">
        <f t="shared" si="6"/>
        <v/>
      </c>
      <c r="Y151" s="449" t="str">
        <f t="shared" si="7"/>
        <v/>
      </c>
      <c r="Z151" s="449" t="str">
        <f t="shared" si="8"/>
        <v/>
      </c>
    </row>
    <row r="152" spans="24:26" x14ac:dyDescent="0.25">
      <c r="X152" s="449" t="str">
        <f t="shared" si="6"/>
        <v/>
      </c>
      <c r="Y152" s="449" t="str">
        <f t="shared" si="7"/>
        <v/>
      </c>
      <c r="Z152" s="449" t="str">
        <f t="shared" si="8"/>
        <v/>
      </c>
    </row>
    <row r="153" spans="24:26" x14ac:dyDescent="0.25">
      <c r="X153" s="449" t="str">
        <f t="shared" si="6"/>
        <v/>
      </c>
      <c r="Y153" s="449" t="str">
        <f t="shared" si="7"/>
        <v/>
      </c>
      <c r="Z153" s="449" t="str">
        <f t="shared" si="8"/>
        <v/>
      </c>
    </row>
    <row r="154" spans="24:26" x14ac:dyDescent="0.25">
      <c r="X154" s="449" t="str">
        <f t="shared" si="6"/>
        <v/>
      </c>
      <c r="Y154" s="449" t="str">
        <f t="shared" si="7"/>
        <v/>
      </c>
      <c r="Z154" s="449" t="str">
        <f t="shared" si="8"/>
        <v/>
      </c>
    </row>
    <row r="155" spans="24:26" x14ac:dyDescent="0.25">
      <c r="X155" s="449" t="str">
        <f t="shared" si="6"/>
        <v/>
      </c>
      <c r="Y155" s="449" t="str">
        <f t="shared" si="7"/>
        <v/>
      </c>
      <c r="Z155" s="449" t="str">
        <f t="shared" si="8"/>
        <v/>
      </c>
    </row>
    <row r="156" spans="24:26" x14ac:dyDescent="0.25">
      <c r="X156" s="449" t="str">
        <f t="shared" si="6"/>
        <v/>
      </c>
      <c r="Y156" s="449" t="str">
        <f t="shared" si="7"/>
        <v/>
      </c>
      <c r="Z156" s="449" t="str">
        <f t="shared" si="8"/>
        <v/>
      </c>
    </row>
    <row r="157" spans="24:26" x14ac:dyDescent="0.25">
      <c r="X157" s="449" t="str">
        <f t="shared" si="6"/>
        <v/>
      </c>
      <c r="Y157" s="449" t="str">
        <f t="shared" si="7"/>
        <v/>
      </c>
      <c r="Z157" s="449" t="str">
        <f t="shared" si="8"/>
        <v/>
      </c>
    </row>
    <row r="158" spans="24:26" x14ac:dyDescent="0.25">
      <c r="X158" s="449" t="str">
        <f t="shared" si="6"/>
        <v/>
      </c>
      <c r="Y158" s="449" t="str">
        <f t="shared" si="7"/>
        <v/>
      </c>
      <c r="Z158" s="449" t="str">
        <f t="shared" si="8"/>
        <v/>
      </c>
    </row>
    <row r="159" spans="24:26" x14ac:dyDescent="0.25">
      <c r="X159" s="449" t="str">
        <f t="shared" si="6"/>
        <v/>
      </c>
      <c r="Y159" s="449" t="str">
        <f t="shared" si="7"/>
        <v/>
      </c>
      <c r="Z159" s="449" t="str">
        <f t="shared" si="8"/>
        <v/>
      </c>
    </row>
    <row r="160" spans="24:26" x14ac:dyDescent="0.25">
      <c r="X160" s="449" t="str">
        <f t="shared" si="6"/>
        <v/>
      </c>
      <c r="Y160" s="449" t="str">
        <f t="shared" si="7"/>
        <v/>
      </c>
      <c r="Z160" s="449" t="str">
        <f t="shared" si="8"/>
        <v/>
      </c>
    </row>
    <row r="161" spans="24:26" x14ac:dyDescent="0.25">
      <c r="X161" s="449" t="str">
        <f t="shared" si="6"/>
        <v/>
      </c>
      <c r="Y161" s="449" t="str">
        <f t="shared" si="7"/>
        <v/>
      </c>
      <c r="Z161" s="449" t="str">
        <f t="shared" si="8"/>
        <v/>
      </c>
    </row>
    <row r="162" spans="24:26" x14ac:dyDescent="0.25">
      <c r="X162" s="449" t="str">
        <f t="shared" si="6"/>
        <v/>
      </c>
      <c r="Y162" s="449" t="str">
        <f t="shared" si="7"/>
        <v/>
      </c>
      <c r="Z162" s="449" t="str">
        <f t="shared" si="8"/>
        <v/>
      </c>
    </row>
    <row r="163" spans="24:26" x14ac:dyDescent="0.25">
      <c r="X163" s="449" t="str">
        <f t="shared" si="6"/>
        <v/>
      </c>
      <c r="Y163" s="449" t="str">
        <f t="shared" si="7"/>
        <v/>
      </c>
      <c r="Z163" s="449" t="str">
        <f t="shared" si="8"/>
        <v/>
      </c>
    </row>
    <row r="164" spans="24:26" x14ac:dyDescent="0.25">
      <c r="X164" s="449" t="str">
        <f t="shared" si="6"/>
        <v/>
      </c>
      <c r="Y164" s="449" t="str">
        <f t="shared" si="7"/>
        <v/>
      </c>
      <c r="Z164" s="449" t="str">
        <f t="shared" si="8"/>
        <v/>
      </c>
    </row>
    <row r="165" spans="24:26" x14ac:dyDescent="0.25">
      <c r="X165" s="449" t="str">
        <f t="shared" si="6"/>
        <v/>
      </c>
      <c r="Y165" s="449" t="str">
        <f t="shared" si="7"/>
        <v/>
      </c>
      <c r="Z165" s="449" t="str">
        <f t="shared" si="8"/>
        <v/>
      </c>
    </row>
    <row r="166" spans="24:26" x14ac:dyDescent="0.25">
      <c r="X166" s="449" t="str">
        <f t="shared" si="6"/>
        <v/>
      </c>
      <c r="Y166" s="449" t="str">
        <f t="shared" si="7"/>
        <v/>
      </c>
      <c r="Z166" s="449" t="str">
        <f t="shared" si="8"/>
        <v/>
      </c>
    </row>
    <row r="167" spans="24:26" x14ac:dyDescent="0.25">
      <c r="X167" s="449" t="str">
        <f t="shared" si="6"/>
        <v/>
      </c>
      <c r="Y167" s="449" t="str">
        <f t="shared" si="7"/>
        <v/>
      </c>
      <c r="Z167" s="449" t="str">
        <f t="shared" si="8"/>
        <v/>
      </c>
    </row>
    <row r="168" spans="24:26" x14ac:dyDescent="0.25">
      <c r="X168" s="449" t="str">
        <f t="shared" si="6"/>
        <v/>
      </c>
      <c r="Y168" s="449" t="str">
        <f t="shared" si="7"/>
        <v/>
      </c>
      <c r="Z168" s="449" t="str">
        <f t="shared" si="8"/>
        <v/>
      </c>
    </row>
    <row r="169" spans="24:26" x14ac:dyDescent="0.25">
      <c r="X169" s="449" t="str">
        <f t="shared" si="6"/>
        <v/>
      </c>
      <c r="Y169" s="449" t="str">
        <f t="shared" si="7"/>
        <v/>
      </c>
      <c r="Z169" s="449" t="str">
        <f t="shared" si="8"/>
        <v/>
      </c>
    </row>
    <row r="170" spans="24:26" x14ac:dyDescent="0.25">
      <c r="X170" s="449" t="str">
        <f t="shared" si="6"/>
        <v/>
      </c>
      <c r="Y170" s="449" t="str">
        <f t="shared" si="7"/>
        <v/>
      </c>
      <c r="Z170" s="449" t="str">
        <f t="shared" si="8"/>
        <v/>
      </c>
    </row>
    <row r="171" spans="24:26" x14ac:dyDescent="0.25">
      <c r="X171" s="449" t="str">
        <f t="shared" si="6"/>
        <v/>
      </c>
      <c r="Y171" s="449" t="str">
        <f t="shared" si="7"/>
        <v/>
      </c>
      <c r="Z171" s="449" t="str">
        <f t="shared" si="8"/>
        <v/>
      </c>
    </row>
    <row r="172" spans="24:26" x14ac:dyDescent="0.25">
      <c r="X172" s="449" t="str">
        <f t="shared" si="6"/>
        <v/>
      </c>
      <c r="Y172" s="449" t="str">
        <f t="shared" si="7"/>
        <v/>
      </c>
      <c r="Z172" s="449" t="str">
        <f t="shared" si="8"/>
        <v/>
      </c>
    </row>
    <row r="173" spans="24:26" x14ac:dyDescent="0.25">
      <c r="X173" s="449" t="str">
        <f t="shared" si="6"/>
        <v/>
      </c>
      <c r="Y173" s="449" t="str">
        <f t="shared" si="7"/>
        <v/>
      </c>
      <c r="Z173" s="449" t="str">
        <f t="shared" si="8"/>
        <v/>
      </c>
    </row>
    <row r="174" spans="24:26" x14ac:dyDescent="0.25">
      <c r="X174" s="449" t="str">
        <f t="shared" si="6"/>
        <v/>
      </c>
      <c r="Y174" s="449" t="str">
        <f t="shared" si="7"/>
        <v/>
      </c>
      <c r="Z174" s="449" t="str">
        <f t="shared" si="8"/>
        <v/>
      </c>
    </row>
    <row r="175" spans="24:26" x14ac:dyDescent="0.25">
      <c r="X175" s="449" t="str">
        <f t="shared" si="6"/>
        <v/>
      </c>
      <c r="Y175" s="449" t="str">
        <f t="shared" si="7"/>
        <v/>
      </c>
      <c r="Z175" s="449" t="str">
        <f t="shared" si="8"/>
        <v/>
      </c>
    </row>
    <row r="176" spans="24:26" x14ac:dyDescent="0.25">
      <c r="X176" s="449" t="str">
        <f t="shared" si="6"/>
        <v/>
      </c>
      <c r="Y176" s="449" t="str">
        <f t="shared" si="7"/>
        <v/>
      </c>
      <c r="Z176" s="449" t="str">
        <f t="shared" si="8"/>
        <v/>
      </c>
    </row>
    <row r="177" spans="24:26" x14ac:dyDescent="0.25">
      <c r="X177" s="449" t="str">
        <f t="shared" si="6"/>
        <v/>
      </c>
      <c r="Y177" s="449" t="str">
        <f t="shared" si="7"/>
        <v/>
      </c>
      <c r="Z177" s="449" t="str">
        <f t="shared" si="8"/>
        <v/>
      </c>
    </row>
    <row r="178" spans="24:26" x14ac:dyDescent="0.25">
      <c r="X178" s="449" t="str">
        <f t="shared" si="6"/>
        <v/>
      </c>
      <c r="Y178" s="449" t="str">
        <f t="shared" si="7"/>
        <v/>
      </c>
      <c r="Z178" s="449" t="str">
        <f t="shared" si="8"/>
        <v/>
      </c>
    </row>
    <row r="179" spans="24:26" x14ac:dyDescent="0.25">
      <c r="X179" s="449" t="str">
        <f t="shared" si="6"/>
        <v/>
      </c>
      <c r="Y179" s="449" t="str">
        <f t="shared" si="7"/>
        <v/>
      </c>
      <c r="Z179" s="449" t="str">
        <f t="shared" si="8"/>
        <v/>
      </c>
    </row>
    <row r="180" spans="24:26" x14ac:dyDescent="0.25">
      <c r="X180" s="449" t="str">
        <f t="shared" si="6"/>
        <v/>
      </c>
      <c r="Y180" s="449" t="str">
        <f t="shared" si="7"/>
        <v/>
      </c>
      <c r="Z180" s="449" t="str">
        <f t="shared" si="8"/>
        <v/>
      </c>
    </row>
    <row r="181" spans="24:26" x14ac:dyDescent="0.25">
      <c r="X181" s="449" t="str">
        <f t="shared" si="6"/>
        <v/>
      </c>
      <c r="Y181" s="449" t="str">
        <f t="shared" si="7"/>
        <v/>
      </c>
      <c r="Z181" s="449" t="str">
        <f t="shared" si="8"/>
        <v/>
      </c>
    </row>
    <row r="182" spans="24:26" x14ac:dyDescent="0.25">
      <c r="X182" s="449" t="str">
        <f t="shared" si="6"/>
        <v/>
      </c>
      <c r="Y182" s="449" t="str">
        <f t="shared" si="7"/>
        <v/>
      </c>
      <c r="Z182" s="449" t="str">
        <f t="shared" si="8"/>
        <v/>
      </c>
    </row>
    <row r="183" spans="24:26" x14ac:dyDescent="0.25">
      <c r="X183" s="449" t="str">
        <f t="shared" si="6"/>
        <v/>
      </c>
      <c r="Y183" s="449" t="str">
        <f t="shared" si="7"/>
        <v/>
      </c>
      <c r="Z183" s="449" t="str">
        <f t="shared" si="8"/>
        <v/>
      </c>
    </row>
    <row r="184" spans="24:26" x14ac:dyDescent="0.25">
      <c r="X184" s="449" t="str">
        <f t="shared" si="6"/>
        <v/>
      </c>
      <c r="Y184" s="449" t="str">
        <f t="shared" si="7"/>
        <v/>
      </c>
      <c r="Z184" s="449" t="str">
        <f t="shared" si="8"/>
        <v/>
      </c>
    </row>
    <row r="185" spans="24:26" x14ac:dyDescent="0.25">
      <c r="X185" s="449" t="str">
        <f t="shared" si="6"/>
        <v/>
      </c>
      <c r="Y185" s="449" t="str">
        <f t="shared" si="7"/>
        <v/>
      </c>
      <c r="Z185" s="449" t="str">
        <f t="shared" si="8"/>
        <v/>
      </c>
    </row>
    <row r="186" spans="24:26" x14ac:dyDescent="0.25">
      <c r="X186" s="449" t="str">
        <f t="shared" si="6"/>
        <v/>
      </c>
      <c r="Y186" s="449" t="str">
        <f t="shared" si="7"/>
        <v/>
      </c>
      <c r="Z186" s="449" t="str">
        <f t="shared" si="8"/>
        <v/>
      </c>
    </row>
    <row r="187" spans="24:26" x14ac:dyDescent="0.25">
      <c r="X187" s="449" t="str">
        <f t="shared" si="6"/>
        <v/>
      </c>
      <c r="Y187" s="449" t="str">
        <f t="shared" si="7"/>
        <v/>
      </c>
      <c r="Z187" s="449" t="str">
        <f t="shared" si="8"/>
        <v/>
      </c>
    </row>
    <row r="188" spans="24:26" x14ac:dyDescent="0.25">
      <c r="X188" s="449" t="str">
        <f t="shared" si="6"/>
        <v/>
      </c>
      <c r="Y188" s="449" t="str">
        <f t="shared" si="7"/>
        <v/>
      </c>
      <c r="Z188" s="449" t="str">
        <f t="shared" si="8"/>
        <v/>
      </c>
    </row>
    <row r="189" spans="24:26" x14ac:dyDescent="0.25">
      <c r="X189" s="449" t="str">
        <f t="shared" si="6"/>
        <v/>
      </c>
      <c r="Y189" s="449" t="str">
        <f t="shared" si="7"/>
        <v/>
      </c>
      <c r="Z189" s="449" t="str">
        <f t="shared" si="8"/>
        <v/>
      </c>
    </row>
    <row r="190" spans="24:26" x14ac:dyDescent="0.25">
      <c r="X190" s="449" t="str">
        <f t="shared" si="6"/>
        <v/>
      </c>
      <c r="Y190" s="449" t="str">
        <f t="shared" si="7"/>
        <v/>
      </c>
      <c r="Z190" s="449" t="str">
        <f t="shared" si="8"/>
        <v/>
      </c>
    </row>
    <row r="191" spans="24:26" x14ac:dyDescent="0.25">
      <c r="X191" s="449" t="str">
        <f t="shared" si="6"/>
        <v/>
      </c>
      <c r="Y191" s="449" t="str">
        <f t="shared" si="7"/>
        <v/>
      </c>
      <c r="Z191" s="449" t="str">
        <f t="shared" si="8"/>
        <v/>
      </c>
    </row>
    <row r="192" spans="24:26" x14ac:dyDescent="0.25">
      <c r="X192" s="449" t="str">
        <f t="shared" si="6"/>
        <v/>
      </c>
      <c r="Y192" s="449" t="str">
        <f t="shared" si="7"/>
        <v/>
      </c>
      <c r="Z192" s="449" t="str">
        <f t="shared" si="8"/>
        <v/>
      </c>
    </row>
    <row r="193" spans="24:26" x14ac:dyDescent="0.25">
      <c r="X193" s="449" t="str">
        <f t="shared" si="6"/>
        <v/>
      </c>
      <c r="Y193" s="449" t="str">
        <f t="shared" si="7"/>
        <v/>
      </c>
      <c r="Z193" s="449" t="str">
        <f t="shared" si="8"/>
        <v/>
      </c>
    </row>
    <row r="194" spans="24:26" x14ac:dyDescent="0.25">
      <c r="X194" s="449" t="str">
        <f t="shared" si="6"/>
        <v/>
      </c>
      <c r="Y194" s="449" t="str">
        <f t="shared" si="7"/>
        <v/>
      </c>
      <c r="Z194" s="449" t="str">
        <f t="shared" si="8"/>
        <v/>
      </c>
    </row>
    <row r="195" spans="24:26" x14ac:dyDescent="0.25">
      <c r="X195" s="449" t="str">
        <f t="shared" si="6"/>
        <v/>
      </c>
      <c r="Y195" s="449" t="str">
        <f t="shared" si="7"/>
        <v/>
      </c>
      <c r="Z195" s="449" t="str">
        <f t="shared" si="8"/>
        <v/>
      </c>
    </row>
    <row r="196" spans="24:26" x14ac:dyDescent="0.25">
      <c r="X196" s="449" t="str">
        <f t="shared" ref="X196:X259" si="9">IF(Z196="","",IF(OR(Z196="21",Z196="22",Z196="36",Z196="61",Z196="24"),Z196,LEFT(Z196,1)&amp;"0"))</f>
        <v/>
      </c>
      <c r="Y196" s="449" t="str">
        <f t="shared" ref="Y196:Y259" si="10">IF(AB196="","",IF(OR(LEFT(AB196,1)="3",LEFT(AB196,1)="4",LEFT(AB196,1)="5"),"300",IF(OR(LEFT(AB196,1)="9",LEFT(AB196,1)="0"),"900",LEFT(AB196,3))))</f>
        <v/>
      </c>
      <c r="Z196" s="449" t="str">
        <f t="shared" ref="Z196:Z259" si="11">LEFT(AA196,2)</f>
        <v/>
      </c>
    </row>
    <row r="197" spans="24:26" x14ac:dyDescent="0.25">
      <c r="X197" s="449" t="str">
        <f t="shared" si="9"/>
        <v/>
      </c>
      <c r="Y197" s="449" t="str">
        <f t="shared" si="10"/>
        <v/>
      </c>
      <c r="Z197" s="449" t="str">
        <f t="shared" si="11"/>
        <v/>
      </c>
    </row>
    <row r="198" spans="24:26" x14ac:dyDescent="0.25">
      <c r="X198" s="449" t="str">
        <f t="shared" si="9"/>
        <v/>
      </c>
      <c r="Y198" s="449" t="str">
        <f t="shared" si="10"/>
        <v/>
      </c>
      <c r="Z198" s="449" t="str">
        <f t="shared" si="11"/>
        <v/>
      </c>
    </row>
    <row r="199" spans="24:26" x14ac:dyDescent="0.25">
      <c r="X199" s="449" t="str">
        <f t="shared" si="9"/>
        <v/>
      </c>
      <c r="Y199" s="449" t="str">
        <f t="shared" si="10"/>
        <v/>
      </c>
      <c r="Z199" s="449" t="str">
        <f t="shared" si="11"/>
        <v/>
      </c>
    </row>
    <row r="200" spans="24:26" x14ac:dyDescent="0.25">
      <c r="X200" s="449" t="str">
        <f t="shared" si="9"/>
        <v/>
      </c>
      <c r="Y200" s="449" t="str">
        <f t="shared" si="10"/>
        <v/>
      </c>
      <c r="Z200" s="449" t="str">
        <f t="shared" si="11"/>
        <v/>
      </c>
    </row>
    <row r="201" spans="24:26" x14ac:dyDescent="0.25">
      <c r="X201" s="449" t="str">
        <f t="shared" si="9"/>
        <v/>
      </c>
      <c r="Y201" s="449" t="str">
        <f t="shared" si="10"/>
        <v/>
      </c>
      <c r="Z201" s="449" t="str">
        <f t="shared" si="11"/>
        <v/>
      </c>
    </row>
    <row r="202" spans="24:26" x14ac:dyDescent="0.25">
      <c r="X202" s="449" t="str">
        <f t="shared" si="9"/>
        <v/>
      </c>
      <c r="Y202" s="449" t="str">
        <f t="shared" si="10"/>
        <v/>
      </c>
      <c r="Z202" s="449" t="str">
        <f t="shared" si="11"/>
        <v/>
      </c>
    </row>
    <row r="203" spans="24:26" x14ac:dyDescent="0.25">
      <c r="X203" s="449" t="str">
        <f t="shared" si="9"/>
        <v/>
      </c>
      <c r="Y203" s="449" t="str">
        <f t="shared" si="10"/>
        <v/>
      </c>
      <c r="Z203" s="449" t="str">
        <f t="shared" si="11"/>
        <v/>
      </c>
    </row>
    <row r="204" spans="24:26" x14ac:dyDescent="0.25">
      <c r="X204" s="449" t="str">
        <f t="shared" si="9"/>
        <v/>
      </c>
      <c r="Y204" s="449" t="str">
        <f t="shared" si="10"/>
        <v/>
      </c>
      <c r="Z204" s="449" t="str">
        <f t="shared" si="11"/>
        <v/>
      </c>
    </row>
    <row r="205" spans="24:26" x14ac:dyDescent="0.25">
      <c r="X205" s="449" t="str">
        <f t="shared" si="9"/>
        <v/>
      </c>
      <c r="Y205" s="449" t="str">
        <f t="shared" si="10"/>
        <v/>
      </c>
      <c r="Z205" s="449" t="str">
        <f t="shared" si="11"/>
        <v/>
      </c>
    </row>
    <row r="206" spans="24:26" x14ac:dyDescent="0.25">
      <c r="X206" s="449" t="str">
        <f t="shared" si="9"/>
        <v/>
      </c>
      <c r="Y206" s="449" t="str">
        <f t="shared" si="10"/>
        <v/>
      </c>
      <c r="Z206" s="449" t="str">
        <f t="shared" si="11"/>
        <v/>
      </c>
    </row>
    <row r="207" spans="24:26" x14ac:dyDescent="0.25">
      <c r="X207" s="449" t="str">
        <f t="shared" si="9"/>
        <v/>
      </c>
      <c r="Y207" s="449" t="str">
        <f t="shared" si="10"/>
        <v/>
      </c>
      <c r="Z207" s="449" t="str">
        <f t="shared" si="11"/>
        <v/>
      </c>
    </row>
    <row r="208" spans="24:26" x14ac:dyDescent="0.25">
      <c r="X208" s="449" t="str">
        <f t="shared" si="9"/>
        <v/>
      </c>
      <c r="Y208" s="449" t="str">
        <f t="shared" si="10"/>
        <v/>
      </c>
      <c r="Z208" s="449" t="str">
        <f t="shared" si="11"/>
        <v/>
      </c>
    </row>
    <row r="209" spans="24:26" x14ac:dyDescent="0.25">
      <c r="X209" s="449" t="str">
        <f t="shared" si="9"/>
        <v/>
      </c>
      <c r="Y209" s="449" t="str">
        <f t="shared" si="10"/>
        <v/>
      </c>
      <c r="Z209" s="449" t="str">
        <f t="shared" si="11"/>
        <v/>
      </c>
    </row>
    <row r="210" spans="24:26" x14ac:dyDescent="0.25">
      <c r="X210" s="449" t="str">
        <f t="shared" si="9"/>
        <v/>
      </c>
      <c r="Y210" s="449" t="str">
        <f t="shared" si="10"/>
        <v/>
      </c>
      <c r="Z210" s="449" t="str">
        <f t="shared" si="11"/>
        <v/>
      </c>
    </row>
    <row r="211" spans="24:26" x14ac:dyDescent="0.25">
      <c r="X211" s="449" t="str">
        <f t="shared" si="9"/>
        <v/>
      </c>
      <c r="Y211" s="449" t="str">
        <f t="shared" si="10"/>
        <v/>
      </c>
      <c r="Z211" s="449" t="str">
        <f t="shared" si="11"/>
        <v/>
      </c>
    </row>
    <row r="212" spans="24:26" x14ac:dyDescent="0.25">
      <c r="X212" s="449" t="str">
        <f t="shared" si="9"/>
        <v/>
      </c>
      <c r="Y212" s="449" t="str">
        <f t="shared" si="10"/>
        <v/>
      </c>
      <c r="Z212" s="449" t="str">
        <f t="shared" si="11"/>
        <v/>
      </c>
    </row>
    <row r="213" spans="24:26" x14ac:dyDescent="0.25">
      <c r="X213" s="449" t="str">
        <f t="shared" si="9"/>
        <v/>
      </c>
      <c r="Y213" s="449" t="str">
        <f t="shared" si="10"/>
        <v/>
      </c>
      <c r="Z213" s="449" t="str">
        <f t="shared" si="11"/>
        <v/>
      </c>
    </row>
    <row r="214" spans="24:26" x14ac:dyDescent="0.25">
      <c r="X214" s="449" t="str">
        <f t="shared" si="9"/>
        <v/>
      </c>
      <c r="Y214" s="449" t="str">
        <f t="shared" si="10"/>
        <v/>
      </c>
      <c r="Z214" s="449" t="str">
        <f t="shared" si="11"/>
        <v/>
      </c>
    </row>
    <row r="215" spans="24:26" x14ac:dyDescent="0.25">
      <c r="X215" s="449" t="str">
        <f t="shared" si="9"/>
        <v/>
      </c>
      <c r="Y215" s="449" t="str">
        <f t="shared" si="10"/>
        <v/>
      </c>
      <c r="Z215" s="449" t="str">
        <f t="shared" si="11"/>
        <v/>
      </c>
    </row>
    <row r="216" spans="24:26" x14ac:dyDescent="0.25">
      <c r="X216" s="449" t="str">
        <f t="shared" si="9"/>
        <v/>
      </c>
      <c r="Y216" s="449" t="str">
        <f t="shared" si="10"/>
        <v/>
      </c>
      <c r="Z216" s="449" t="str">
        <f t="shared" si="11"/>
        <v/>
      </c>
    </row>
    <row r="217" spans="24:26" x14ac:dyDescent="0.25">
      <c r="X217" s="449" t="str">
        <f t="shared" si="9"/>
        <v/>
      </c>
      <c r="Y217" s="449" t="str">
        <f t="shared" si="10"/>
        <v/>
      </c>
      <c r="Z217" s="449" t="str">
        <f t="shared" si="11"/>
        <v/>
      </c>
    </row>
    <row r="218" spans="24:26" x14ac:dyDescent="0.25">
      <c r="X218" s="449" t="str">
        <f t="shared" si="9"/>
        <v/>
      </c>
      <c r="Y218" s="449" t="str">
        <f t="shared" si="10"/>
        <v/>
      </c>
      <c r="Z218" s="449" t="str">
        <f t="shared" si="11"/>
        <v/>
      </c>
    </row>
    <row r="219" spans="24:26" x14ac:dyDescent="0.25">
      <c r="X219" s="449" t="str">
        <f t="shared" si="9"/>
        <v/>
      </c>
      <c r="Y219" s="449" t="str">
        <f t="shared" si="10"/>
        <v/>
      </c>
      <c r="Z219" s="449" t="str">
        <f t="shared" si="11"/>
        <v/>
      </c>
    </row>
    <row r="220" spans="24:26" x14ac:dyDescent="0.25">
      <c r="X220" s="449" t="str">
        <f t="shared" si="9"/>
        <v/>
      </c>
      <c r="Y220" s="449" t="str">
        <f t="shared" si="10"/>
        <v/>
      </c>
      <c r="Z220" s="449" t="str">
        <f t="shared" si="11"/>
        <v/>
      </c>
    </row>
    <row r="221" spans="24:26" x14ac:dyDescent="0.25">
      <c r="X221" s="449" t="str">
        <f t="shared" si="9"/>
        <v/>
      </c>
      <c r="Y221" s="449" t="str">
        <f t="shared" si="10"/>
        <v/>
      </c>
      <c r="Z221" s="449" t="str">
        <f t="shared" si="11"/>
        <v/>
      </c>
    </row>
    <row r="222" spans="24:26" x14ac:dyDescent="0.25">
      <c r="X222" s="449" t="str">
        <f t="shared" si="9"/>
        <v/>
      </c>
      <c r="Y222" s="449" t="str">
        <f t="shared" si="10"/>
        <v/>
      </c>
      <c r="Z222" s="449" t="str">
        <f t="shared" si="11"/>
        <v/>
      </c>
    </row>
    <row r="223" spans="24:26" x14ac:dyDescent="0.25">
      <c r="X223" s="449" t="str">
        <f t="shared" si="9"/>
        <v/>
      </c>
      <c r="Y223" s="449" t="str">
        <f t="shared" si="10"/>
        <v/>
      </c>
      <c r="Z223" s="449" t="str">
        <f t="shared" si="11"/>
        <v/>
      </c>
    </row>
    <row r="224" spans="24:26" x14ac:dyDescent="0.25">
      <c r="X224" s="449" t="str">
        <f t="shared" si="9"/>
        <v/>
      </c>
      <c r="Y224" s="449" t="str">
        <f t="shared" si="10"/>
        <v/>
      </c>
      <c r="Z224" s="449" t="str">
        <f t="shared" si="11"/>
        <v/>
      </c>
    </row>
    <row r="225" spans="24:26" x14ac:dyDescent="0.25">
      <c r="X225" s="449" t="str">
        <f t="shared" si="9"/>
        <v/>
      </c>
      <c r="Y225" s="449" t="str">
        <f t="shared" si="10"/>
        <v/>
      </c>
      <c r="Z225" s="449" t="str">
        <f t="shared" si="11"/>
        <v/>
      </c>
    </row>
    <row r="226" spans="24:26" x14ac:dyDescent="0.25">
      <c r="X226" s="449" t="str">
        <f t="shared" si="9"/>
        <v/>
      </c>
      <c r="Y226" s="449" t="str">
        <f t="shared" si="10"/>
        <v/>
      </c>
      <c r="Z226" s="449" t="str">
        <f t="shared" si="11"/>
        <v/>
      </c>
    </row>
    <row r="227" spans="24:26" x14ac:dyDescent="0.25">
      <c r="X227" s="449" t="str">
        <f t="shared" si="9"/>
        <v/>
      </c>
      <c r="Y227" s="449" t="str">
        <f t="shared" si="10"/>
        <v/>
      </c>
      <c r="Z227" s="449" t="str">
        <f t="shared" si="11"/>
        <v/>
      </c>
    </row>
    <row r="228" spans="24:26" x14ac:dyDescent="0.25">
      <c r="X228" s="449" t="str">
        <f t="shared" si="9"/>
        <v/>
      </c>
      <c r="Y228" s="449" t="str">
        <f t="shared" si="10"/>
        <v/>
      </c>
      <c r="Z228" s="449" t="str">
        <f t="shared" si="11"/>
        <v/>
      </c>
    </row>
    <row r="229" spans="24:26" x14ac:dyDescent="0.25">
      <c r="X229" s="449" t="str">
        <f t="shared" si="9"/>
        <v/>
      </c>
      <c r="Y229" s="449" t="str">
        <f t="shared" si="10"/>
        <v/>
      </c>
      <c r="Z229" s="449" t="str">
        <f t="shared" si="11"/>
        <v/>
      </c>
    </row>
    <row r="230" spans="24:26" x14ac:dyDescent="0.25">
      <c r="X230" s="449" t="str">
        <f t="shared" si="9"/>
        <v/>
      </c>
      <c r="Y230" s="449" t="str">
        <f t="shared" si="10"/>
        <v/>
      </c>
      <c r="Z230" s="449" t="str">
        <f t="shared" si="11"/>
        <v/>
      </c>
    </row>
    <row r="231" spans="24:26" x14ac:dyDescent="0.25">
      <c r="X231" s="449" t="str">
        <f t="shared" si="9"/>
        <v/>
      </c>
      <c r="Y231" s="449" t="str">
        <f t="shared" si="10"/>
        <v/>
      </c>
      <c r="Z231" s="449" t="str">
        <f t="shared" si="11"/>
        <v/>
      </c>
    </row>
    <row r="232" spans="24:26" x14ac:dyDescent="0.25">
      <c r="X232" s="449" t="str">
        <f t="shared" si="9"/>
        <v/>
      </c>
      <c r="Y232" s="449" t="str">
        <f t="shared" si="10"/>
        <v/>
      </c>
      <c r="Z232" s="449" t="str">
        <f t="shared" si="11"/>
        <v/>
      </c>
    </row>
    <row r="233" spans="24:26" x14ac:dyDescent="0.25">
      <c r="X233" s="449" t="str">
        <f t="shared" si="9"/>
        <v/>
      </c>
      <c r="Y233" s="449" t="str">
        <f t="shared" si="10"/>
        <v/>
      </c>
      <c r="Z233" s="449" t="str">
        <f t="shared" si="11"/>
        <v/>
      </c>
    </row>
    <row r="234" spans="24:26" x14ac:dyDescent="0.25">
      <c r="X234" s="449" t="str">
        <f t="shared" si="9"/>
        <v/>
      </c>
      <c r="Y234" s="449" t="str">
        <f t="shared" si="10"/>
        <v/>
      </c>
      <c r="Z234" s="449" t="str">
        <f t="shared" si="11"/>
        <v/>
      </c>
    </row>
    <row r="235" spans="24:26" x14ac:dyDescent="0.25">
      <c r="X235" s="449" t="str">
        <f t="shared" si="9"/>
        <v/>
      </c>
      <c r="Y235" s="449" t="str">
        <f t="shared" si="10"/>
        <v/>
      </c>
      <c r="Z235" s="449" t="str">
        <f t="shared" si="11"/>
        <v/>
      </c>
    </row>
    <row r="236" spans="24:26" x14ac:dyDescent="0.25">
      <c r="X236" s="449" t="str">
        <f t="shared" si="9"/>
        <v/>
      </c>
      <c r="Y236" s="449" t="str">
        <f t="shared" si="10"/>
        <v/>
      </c>
      <c r="Z236" s="449" t="str">
        <f t="shared" si="11"/>
        <v/>
      </c>
    </row>
    <row r="237" spans="24:26" x14ac:dyDescent="0.25">
      <c r="X237" s="449" t="str">
        <f t="shared" si="9"/>
        <v/>
      </c>
      <c r="Y237" s="449" t="str">
        <f t="shared" si="10"/>
        <v/>
      </c>
      <c r="Z237" s="449" t="str">
        <f t="shared" si="11"/>
        <v/>
      </c>
    </row>
    <row r="238" spans="24:26" x14ac:dyDescent="0.25">
      <c r="X238" s="449" t="str">
        <f t="shared" si="9"/>
        <v/>
      </c>
      <c r="Y238" s="449" t="str">
        <f t="shared" si="10"/>
        <v/>
      </c>
      <c r="Z238" s="449" t="str">
        <f t="shared" si="11"/>
        <v/>
      </c>
    </row>
    <row r="239" spans="24:26" x14ac:dyDescent="0.25">
      <c r="X239" s="449" t="str">
        <f t="shared" si="9"/>
        <v/>
      </c>
      <c r="Y239" s="449" t="str">
        <f t="shared" si="10"/>
        <v/>
      </c>
      <c r="Z239" s="449" t="str">
        <f t="shared" si="11"/>
        <v/>
      </c>
    </row>
    <row r="240" spans="24:26" x14ac:dyDescent="0.25">
      <c r="X240" s="449" t="str">
        <f t="shared" si="9"/>
        <v/>
      </c>
      <c r="Y240" s="449" t="str">
        <f t="shared" si="10"/>
        <v/>
      </c>
      <c r="Z240" s="449" t="str">
        <f t="shared" si="11"/>
        <v/>
      </c>
    </row>
    <row r="241" spans="24:26" x14ac:dyDescent="0.25">
      <c r="X241" s="449" t="str">
        <f t="shared" si="9"/>
        <v/>
      </c>
      <c r="Y241" s="449" t="str">
        <f t="shared" si="10"/>
        <v/>
      </c>
      <c r="Z241" s="449" t="str">
        <f t="shared" si="11"/>
        <v/>
      </c>
    </row>
    <row r="242" spans="24:26" x14ac:dyDescent="0.25">
      <c r="X242" s="449" t="str">
        <f t="shared" si="9"/>
        <v/>
      </c>
      <c r="Y242" s="449" t="str">
        <f t="shared" si="10"/>
        <v/>
      </c>
      <c r="Z242" s="449" t="str">
        <f t="shared" si="11"/>
        <v/>
      </c>
    </row>
    <row r="243" spans="24:26" x14ac:dyDescent="0.25">
      <c r="X243" s="449" t="str">
        <f t="shared" si="9"/>
        <v/>
      </c>
      <c r="Y243" s="449" t="str">
        <f t="shared" si="10"/>
        <v/>
      </c>
      <c r="Z243" s="449" t="str">
        <f t="shared" si="11"/>
        <v/>
      </c>
    </row>
    <row r="244" spans="24:26" x14ac:dyDescent="0.25">
      <c r="X244" s="449" t="str">
        <f t="shared" si="9"/>
        <v/>
      </c>
      <c r="Y244" s="449" t="str">
        <f t="shared" si="10"/>
        <v/>
      </c>
      <c r="Z244" s="449" t="str">
        <f t="shared" si="11"/>
        <v/>
      </c>
    </row>
    <row r="245" spans="24:26" x14ac:dyDescent="0.25">
      <c r="X245" s="449" t="str">
        <f t="shared" si="9"/>
        <v/>
      </c>
      <c r="Y245" s="449" t="str">
        <f t="shared" si="10"/>
        <v/>
      </c>
      <c r="Z245" s="449" t="str">
        <f t="shared" si="11"/>
        <v/>
      </c>
    </row>
    <row r="246" spans="24:26" x14ac:dyDescent="0.25">
      <c r="X246" s="449" t="str">
        <f t="shared" si="9"/>
        <v/>
      </c>
      <c r="Y246" s="449" t="str">
        <f t="shared" si="10"/>
        <v/>
      </c>
      <c r="Z246" s="449" t="str">
        <f t="shared" si="11"/>
        <v/>
      </c>
    </row>
    <row r="247" spans="24:26" x14ac:dyDescent="0.25">
      <c r="X247" s="449" t="str">
        <f t="shared" si="9"/>
        <v/>
      </c>
      <c r="Y247" s="449" t="str">
        <f t="shared" si="10"/>
        <v/>
      </c>
      <c r="Z247" s="449" t="str">
        <f t="shared" si="11"/>
        <v/>
      </c>
    </row>
    <row r="248" spans="24:26" x14ac:dyDescent="0.25">
      <c r="X248" s="449" t="str">
        <f t="shared" si="9"/>
        <v/>
      </c>
      <c r="Y248" s="449" t="str">
        <f t="shared" si="10"/>
        <v/>
      </c>
      <c r="Z248" s="449" t="str">
        <f t="shared" si="11"/>
        <v/>
      </c>
    </row>
    <row r="249" spans="24:26" x14ac:dyDescent="0.25">
      <c r="X249" s="449" t="str">
        <f t="shared" si="9"/>
        <v/>
      </c>
      <c r="Y249" s="449" t="str">
        <f t="shared" si="10"/>
        <v/>
      </c>
      <c r="Z249" s="449" t="str">
        <f t="shared" si="11"/>
        <v/>
      </c>
    </row>
    <row r="250" spans="24:26" x14ac:dyDescent="0.25">
      <c r="X250" s="449" t="str">
        <f t="shared" si="9"/>
        <v/>
      </c>
      <c r="Y250" s="449" t="str">
        <f t="shared" si="10"/>
        <v/>
      </c>
      <c r="Z250" s="449" t="str">
        <f t="shared" si="11"/>
        <v/>
      </c>
    </row>
    <row r="251" spans="24:26" x14ac:dyDescent="0.25">
      <c r="X251" s="449" t="str">
        <f t="shared" si="9"/>
        <v/>
      </c>
      <c r="Y251" s="449" t="str">
        <f t="shared" si="10"/>
        <v/>
      </c>
      <c r="Z251" s="449" t="str">
        <f t="shared" si="11"/>
        <v/>
      </c>
    </row>
    <row r="252" spans="24:26" x14ac:dyDescent="0.25">
      <c r="X252" s="449" t="str">
        <f t="shared" si="9"/>
        <v/>
      </c>
      <c r="Y252" s="449" t="str">
        <f t="shared" si="10"/>
        <v/>
      </c>
      <c r="Z252" s="449" t="str">
        <f t="shared" si="11"/>
        <v/>
      </c>
    </row>
    <row r="253" spans="24:26" x14ac:dyDescent="0.25">
      <c r="X253" s="449" t="str">
        <f t="shared" si="9"/>
        <v/>
      </c>
      <c r="Y253" s="449" t="str">
        <f t="shared" si="10"/>
        <v/>
      </c>
      <c r="Z253" s="449" t="str">
        <f t="shared" si="11"/>
        <v/>
      </c>
    </row>
    <row r="254" spans="24:26" x14ac:dyDescent="0.25">
      <c r="X254" s="449" t="str">
        <f t="shared" si="9"/>
        <v/>
      </c>
      <c r="Y254" s="449" t="str">
        <f t="shared" si="10"/>
        <v/>
      </c>
      <c r="Z254" s="449" t="str">
        <f t="shared" si="11"/>
        <v/>
      </c>
    </row>
    <row r="255" spans="24:26" x14ac:dyDescent="0.25">
      <c r="X255" s="449" t="str">
        <f t="shared" si="9"/>
        <v/>
      </c>
      <c r="Y255" s="449" t="str">
        <f t="shared" si="10"/>
        <v/>
      </c>
      <c r="Z255" s="449" t="str">
        <f t="shared" si="11"/>
        <v/>
      </c>
    </row>
    <row r="256" spans="24:26" x14ac:dyDescent="0.25">
      <c r="X256" s="449" t="str">
        <f t="shared" si="9"/>
        <v/>
      </c>
      <c r="Y256" s="449" t="str">
        <f t="shared" si="10"/>
        <v/>
      </c>
      <c r="Z256" s="449" t="str">
        <f t="shared" si="11"/>
        <v/>
      </c>
    </row>
    <row r="257" spans="24:26" x14ac:dyDescent="0.25">
      <c r="X257" s="449" t="str">
        <f t="shared" si="9"/>
        <v/>
      </c>
      <c r="Y257" s="449" t="str">
        <f t="shared" si="10"/>
        <v/>
      </c>
      <c r="Z257" s="449" t="str">
        <f t="shared" si="11"/>
        <v/>
      </c>
    </row>
    <row r="258" spans="24:26" x14ac:dyDescent="0.25">
      <c r="X258" s="449" t="str">
        <f t="shared" si="9"/>
        <v/>
      </c>
      <c r="Y258" s="449" t="str">
        <f t="shared" si="10"/>
        <v/>
      </c>
      <c r="Z258" s="449" t="str">
        <f t="shared" si="11"/>
        <v/>
      </c>
    </row>
    <row r="259" spans="24:26" x14ac:dyDescent="0.25">
      <c r="X259" s="449" t="str">
        <f t="shared" si="9"/>
        <v/>
      </c>
      <c r="Y259" s="449" t="str">
        <f t="shared" si="10"/>
        <v/>
      </c>
      <c r="Z259" s="449" t="str">
        <f t="shared" si="11"/>
        <v/>
      </c>
    </row>
    <row r="260" spans="24:26" x14ac:dyDescent="0.25">
      <c r="X260" s="449" t="str">
        <f t="shared" ref="X260:X323" si="12">IF(Z260="","",IF(OR(Z260="21",Z260="22",Z260="36",Z260="61",Z260="24"),Z260,LEFT(Z260,1)&amp;"0"))</f>
        <v/>
      </c>
      <c r="Y260" s="449" t="str">
        <f t="shared" ref="Y260:Y323" si="13">IF(AB260="","",IF(OR(LEFT(AB260,1)="3",LEFT(AB260,1)="4",LEFT(AB260,1)="5"),"300",IF(OR(LEFT(AB260,1)="9",LEFT(AB260,1)="0"),"900",LEFT(AB260,3))))</f>
        <v/>
      </c>
      <c r="Z260" s="449" t="str">
        <f t="shared" ref="Z260:Z323" si="14">LEFT(AA260,2)</f>
        <v/>
      </c>
    </row>
    <row r="261" spans="24:26" x14ac:dyDescent="0.25">
      <c r="X261" s="449" t="str">
        <f t="shared" si="12"/>
        <v/>
      </c>
      <c r="Y261" s="449" t="str">
        <f t="shared" si="13"/>
        <v/>
      </c>
      <c r="Z261" s="449" t="str">
        <f t="shared" si="14"/>
        <v/>
      </c>
    </row>
    <row r="262" spans="24:26" x14ac:dyDescent="0.25">
      <c r="X262" s="449" t="str">
        <f t="shared" si="12"/>
        <v/>
      </c>
      <c r="Y262" s="449" t="str">
        <f t="shared" si="13"/>
        <v/>
      </c>
      <c r="Z262" s="449" t="str">
        <f t="shared" si="14"/>
        <v/>
      </c>
    </row>
    <row r="263" spans="24:26" x14ac:dyDescent="0.25">
      <c r="X263" s="449" t="str">
        <f t="shared" si="12"/>
        <v/>
      </c>
      <c r="Y263" s="449" t="str">
        <f t="shared" si="13"/>
        <v/>
      </c>
      <c r="Z263" s="449" t="str">
        <f t="shared" si="14"/>
        <v/>
      </c>
    </row>
    <row r="264" spans="24:26" x14ac:dyDescent="0.25">
      <c r="X264" s="449" t="str">
        <f t="shared" si="12"/>
        <v/>
      </c>
      <c r="Y264" s="449" t="str">
        <f t="shared" si="13"/>
        <v/>
      </c>
      <c r="Z264" s="449" t="str">
        <f t="shared" si="14"/>
        <v/>
      </c>
    </row>
    <row r="265" spans="24:26" x14ac:dyDescent="0.25">
      <c r="X265" s="449" t="str">
        <f t="shared" si="12"/>
        <v/>
      </c>
      <c r="Y265" s="449" t="str">
        <f t="shared" si="13"/>
        <v/>
      </c>
      <c r="Z265" s="449" t="str">
        <f t="shared" si="14"/>
        <v/>
      </c>
    </row>
    <row r="266" spans="24:26" x14ac:dyDescent="0.25">
      <c r="X266" s="449" t="str">
        <f t="shared" si="12"/>
        <v/>
      </c>
      <c r="Y266" s="449" t="str">
        <f t="shared" si="13"/>
        <v/>
      </c>
      <c r="Z266" s="449" t="str">
        <f t="shared" si="14"/>
        <v/>
      </c>
    </row>
    <row r="267" spans="24:26" x14ac:dyDescent="0.25">
      <c r="X267" s="449" t="str">
        <f t="shared" si="12"/>
        <v/>
      </c>
      <c r="Y267" s="449" t="str">
        <f t="shared" si="13"/>
        <v/>
      </c>
      <c r="Z267" s="449" t="str">
        <f t="shared" si="14"/>
        <v/>
      </c>
    </row>
    <row r="268" spans="24:26" x14ac:dyDescent="0.25">
      <c r="X268" s="449" t="str">
        <f t="shared" si="12"/>
        <v/>
      </c>
      <c r="Y268" s="449" t="str">
        <f t="shared" si="13"/>
        <v/>
      </c>
      <c r="Z268" s="449" t="str">
        <f t="shared" si="14"/>
        <v/>
      </c>
    </row>
    <row r="269" spans="24:26" x14ac:dyDescent="0.25">
      <c r="X269" s="449" t="str">
        <f t="shared" si="12"/>
        <v/>
      </c>
      <c r="Y269" s="449" t="str">
        <f t="shared" si="13"/>
        <v/>
      </c>
      <c r="Z269" s="449" t="str">
        <f t="shared" si="14"/>
        <v/>
      </c>
    </row>
    <row r="270" spans="24:26" x14ac:dyDescent="0.25">
      <c r="X270" s="449" t="str">
        <f t="shared" si="12"/>
        <v/>
      </c>
      <c r="Y270" s="449" t="str">
        <f t="shared" si="13"/>
        <v/>
      </c>
      <c r="Z270" s="449" t="str">
        <f t="shared" si="14"/>
        <v/>
      </c>
    </row>
    <row r="271" spans="24:26" x14ac:dyDescent="0.25">
      <c r="X271" s="449" t="str">
        <f t="shared" si="12"/>
        <v/>
      </c>
      <c r="Y271" s="449" t="str">
        <f t="shared" si="13"/>
        <v/>
      </c>
      <c r="Z271" s="449" t="str">
        <f t="shared" si="14"/>
        <v/>
      </c>
    </row>
    <row r="272" spans="24:26" x14ac:dyDescent="0.25">
      <c r="X272" s="449" t="str">
        <f t="shared" si="12"/>
        <v/>
      </c>
      <c r="Y272" s="449" t="str">
        <f t="shared" si="13"/>
        <v/>
      </c>
      <c r="Z272" s="449" t="str">
        <f t="shared" si="14"/>
        <v/>
      </c>
    </row>
    <row r="273" spans="24:26" x14ac:dyDescent="0.25">
      <c r="X273" s="449" t="str">
        <f t="shared" si="12"/>
        <v/>
      </c>
      <c r="Y273" s="449" t="str">
        <f t="shared" si="13"/>
        <v/>
      </c>
      <c r="Z273" s="449" t="str">
        <f t="shared" si="14"/>
        <v/>
      </c>
    </row>
    <row r="274" spans="24:26" x14ac:dyDescent="0.25">
      <c r="X274" s="449" t="str">
        <f t="shared" si="12"/>
        <v/>
      </c>
      <c r="Y274" s="449" t="str">
        <f t="shared" si="13"/>
        <v/>
      </c>
      <c r="Z274" s="449" t="str">
        <f t="shared" si="14"/>
        <v/>
      </c>
    </row>
    <row r="275" spans="24:26" x14ac:dyDescent="0.25">
      <c r="X275" s="449" t="str">
        <f t="shared" si="12"/>
        <v/>
      </c>
      <c r="Y275" s="449" t="str">
        <f t="shared" si="13"/>
        <v/>
      </c>
      <c r="Z275" s="449" t="str">
        <f t="shared" si="14"/>
        <v/>
      </c>
    </row>
    <row r="276" spans="24:26" x14ac:dyDescent="0.25">
      <c r="X276" s="449" t="str">
        <f t="shared" si="12"/>
        <v/>
      </c>
      <c r="Y276" s="449" t="str">
        <f t="shared" si="13"/>
        <v/>
      </c>
      <c r="Z276" s="449" t="str">
        <f t="shared" si="14"/>
        <v/>
      </c>
    </row>
    <row r="277" spans="24:26" x14ac:dyDescent="0.25">
      <c r="X277" s="449" t="str">
        <f t="shared" si="12"/>
        <v/>
      </c>
      <c r="Y277" s="449" t="str">
        <f t="shared" si="13"/>
        <v/>
      </c>
      <c r="Z277" s="449" t="str">
        <f t="shared" si="14"/>
        <v/>
      </c>
    </row>
    <row r="278" spans="24:26" x14ac:dyDescent="0.25">
      <c r="X278" s="449" t="str">
        <f t="shared" si="12"/>
        <v/>
      </c>
      <c r="Y278" s="449" t="str">
        <f t="shared" si="13"/>
        <v/>
      </c>
      <c r="Z278" s="449" t="str">
        <f t="shared" si="14"/>
        <v/>
      </c>
    </row>
    <row r="279" spans="24:26" x14ac:dyDescent="0.25">
      <c r="X279" s="449" t="str">
        <f t="shared" si="12"/>
        <v/>
      </c>
      <c r="Y279" s="449" t="str">
        <f t="shared" si="13"/>
        <v/>
      </c>
      <c r="Z279" s="449" t="str">
        <f t="shared" si="14"/>
        <v/>
      </c>
    </row>
    <row r="280" spans="24:26" x14ac:dyDescent="0.25">
      <c r="X280" s="449" t="str">
        <f t="shared" si="12"/>
        <v/>
      </c>
      <c r="Y280" s="449" t="str">
        <f t="shared" si="13"/>
        <v/>
      </c>
      <c r="Z280" s="449" t="str">
        <f t="shared" si="14"/>
        <v/>
      </c>
    </row>
    <row r="281" spans="24:26" x14ac:dyDescent="0.25">
      <c r="X281" s="449" t="str">
        <f t="shared" si="12"/>
        <v/>
      </c>
      <c r="Y281" s="449" t="str">
        <f t="shared" si="13"/>
        <v/>
      </c>
      <c r="Z281" s="449" t="str">
        <f t="shared" si="14"/>
        <v/>
      </c>
    </row>
    <row r="282" spans="24:26" x14ac:dyDescent="0.25">
      <c r="X282" s="449" t="str">
        <f t="shared" si="12"/>
        <v/>
      </c>
      <c r="Y282" s="449" t="str">
        <f t="shared" si="13"/>
        <v/>
      </c>
      <c r="Z282" s="449" t="str">
        <f t="shared" si="14"/>
        <v/>
      </c>
    </row>
    <row r="283" spans="24:26" x14ac:dyDescent="0.25">
      <c r="X283" s="449" t="str">
        <f t="shared" si="12"/>
        <v/>
      </c>
      <c r="Y283" s="449" t="str">
        <f t="shared" si="13"/>
        <v/>
      </c>
      <c r="Z283" s="449" t="str">
        <f t="shared" si="14"/>
        <v/>
      </c>
    </row>
    <row r="284" spans="24:26" x14ac:dyDescent="0.25">
      <c r="X284" s="449" t="str">
        <f t="shared" si="12"/>
        <v/>
      </c>
      <c r="Y284" s="449" t="str">
        <f t="shared" si="13"/>
        <v/>
      </c>
      <c r="Z284" s="449" t="str">
        <f t="shared" si="14"/>
        <v/>
      </c>
    </row>
    <row r="285" spans="24:26" x14ac:dyDescent="0.25">
      <c r="X285" s="449" t="str">
        <f t="shared" si="12"/>
        <v/>
      </c>
      <c r="Y285" s="449" t="str">
        <f t="shared" si="13"/>
        <v/>
      </c>
      <c r="Z285" s="449" t="str">
        <f t="shared" si="14"/>
        <v/>
      </c>
    </row>
    <row r="286" spans="24:26" x14ac:dyDescent="0.25">
      <c r="X286" s="449" t="str">
        <f t="shared" si="12"/>
        <v/>
      </c>
      <c r="Y286" s="449" t="str">
        <f t="shared" si="13"/>
        <v/>
      </c>
      <c r="Z286" s="449" t="str">
        <f t="shared" si="14"/>
        <v/>
      </c>
    </row>
    <row r="287" spans="24:26" x14ac:dyDescent="0.25">
      <c r="X287" s="449" t="str">
        <f t="shared" si="12"/>
        <v/>
      </c>
      <c r="Y287" s="449" t="str">
        <f t="shared" si="13"/>
        <v/>
      </c>
      <c r="Z287" s="449" t="str">
        <f t="shared" si="14"/>
        <v/>
      </c>
    </row>
    <row r="288" spans="24:26" x14ac:dyDescent="0.25">
      <c r="X288" s="449" t="str">
        <f t="shared" si="12"/>
        <v/>
      </c>
      <c r="Y288" s="449" t="str">
        <f t="shared" si="13"/>
        <v/>
      </c>
      <c r="Z288" s="449" t="str">
        <f t="shared" si="14"/>
        <v/>
      </c>
    </row>
    <row r="289" spans="24:26" x14ac:dyDescent="0.25">
      <c r="X289" s="449" t="str">
        <f t="shared" si="12"/>
        <v/>
      </c>
      <c r="Y289" s="449" t="str">
        <f t="shared" si="13"/>
        <v/>
      </c>
      <c r="Z289" s="449" t="str">
        <f t="shared" si="14"/>
        <v/>
      </c>
    </row>
    <row r="290" spans="24:26" x14ac:dyDescent="0.25">
      <c r="X290" s="449" t="str">
        <f t="shared" si="12"/>
        <v/>
      </c>
      <c r="Y290" s="449" t="str">
        <f t="shared" si="13"/>
        <v/>
      </c>
      <c r="Z290" s="449" t="str">
        <f t="shared" si="14"/>
        <v/>
      </c>
    </row>
    <row r="291" spans="24:26" x14ac:dyDescent="0.25">
      <c r="X291" s="449" t="str">
        <f t="shared" si="12"/>
        <v/>
      </c>
      <c r="Y291" s="449" t="str">
        <f t="shared" si="13"/>
        <v/>
      </c>
      <c r="Z291" s="449" t="str">
        <f t="shared" si="14"/>
        <v/>
      </c>
    </row>
    <row r="292" spans="24:26" x14ac:dyDescent="0.25">
      <c r="X292" s="449" t="str">
        <f t="shared" si="12"/>
        <v/>
      </c>
      <c r="Y292" s="449" t="str">
        <f t="shared" si="13"/>
        <v/>
      </c>
      <c r="Z292" s="449" t="str">
        <f t="shared" si="14"/>
        <v/>
      </c>
    </row>
    <row r="293" spans="24:26" x14ac:dyDescent="0.25">
      <c r="X293" s="449" t="str">
        <f t="shared" si="12"/>
        <v/>
      </c>
      <c r="Y293" s="449" t="str">
        <f t="shared" si="13"/>
        <v/>
      </c>
      <c r="Z293" s="449" t="str">
        <f t="shared" si="14"/>
        <v/>
      </c>
    </row>
    <row r="294" spans="24:26" x14ac:dyDescent="0.25">
      <c r="X294" s="449" t="str">
        <f t="shared" si="12"/>
        <v/>
      </c>
      <c r="Y294" s="449" t="str">
        <f t="shared" si="13"/>
        <v/>
      </c>
      <c r="Z294" s="449" t="str">
        <f t="shared" si="14"/>
        <v/>
      </c>
    </row>
    <row r="295" spans="24:26" x14ac:dyDescent="0.25">
      <c r="X295" s="449" t="str">
        <f t="shared" si="12"/>
        <v/>
      </c>
      <c r="Y295" s="449" t="str">
        <f t="shared" si="13"/>
        <v/>
      </c>
      <c r="Z295" s="449" t="str">
        <f t="shared" si="14"/>
        <v/>
      </c>
    </row>
    <row r="296" spans="24:26" x14ac:dyDescent="0.25">
      <c r="X296" s="449" t="str">
        <f t="shared" si="12"/>
        <v/>
      </c>
      <c r="Y296" s="449" t="str">
        <f t="shared" si="13"/>
        <v/>
      </c>
      <c r="Z296" s="449" t="str">
        <f t="shared" si="14"/>
        <v/>
      </c>
    </row>
    <row r="297" spans="24:26" x14ac:dyDescent="0.25">
      <c r="X297" s="449" t="str">
        <f t="shared" si="12"/>
        <v/>
      </c>
      <c r="Y297" s="449" t="str">
        <f t="shared" si="13"/>
        <v/>
      </c>
      <c r="Z297" s="449" t="str">
        <f t="shared" si="14"/>
        <v/>
      </c>
    </row>
    <row r="298" spans="24:26" x14ac:dyDescent="0.25">
      <c r="X298" s="449" t="str">
        <f t="shared" si="12"/>
        <v/>
      </c>
      <c r="Y298" s="449" t="str">
        <f t="shared" si="13"/>
        <v/>
      </c>
      <c r="Z298" s="449" t="str">
        <f t="shared" si="14"/>
        <v/>
      </c>
    </row>
    <row r="299" spans="24:26" x14ac:dyDescent="0.25">
      <c r="X299" s="449" t="str">
        <f t="shared" si="12"/>
        <v/>
      </c>
      <c r="Y299" s="449" t="str">
        <f t="shared" si="13"/>
        <v/>
      </c>
      <c r="Z299" s="449" t="str">
        <f t="shared" si="14"/>
        <v/>
      </c>
    </row>
    <row r="300" spans="24:26" x14ac:dyDescent="0.25">
      <c r="X300" s="449" t="str">
        <f t="shared" si="12"/>
        <v/>
      </c>
      <c r="Y300" s="449" t="str">
        <f t="shared" si="13"/>
        <v/>
      </c>
      <c r="Z300" s="449" t="str">
        <f t="shared" si="14"/>
        <v/>
      </c>
    </row>
    <row r="301" spans="24:26" x14ac:dyDescent="0.25">
      <c r="X301" s="449" t="str">
        <f t="shared" si="12"/>
        <v/>
      </c>
      <c r="Y301" s="449" t="str">
        <f t="shared" si="13"/>
        <v/>
      </c>
      <c r="Z301" s="449" t="str">
        <f t="shared" si="14"/>
        <v/>
      </c>
    </row>
    <row r="302" spans="24:26" x14ac:dyDescent="0.25">
      <c r="X302" s="449" t="str">
        <f t="shared" si="12"/>
        <v/>
      </c>
      <c r="Y302" s="449" t="str">
        <f t="shared" si="13"/>
        <v/>
      </c>
      <c r="Z302" s="449" t="str">
        <f t="shared" si="14"/>
        <v/>
      </c>
    </row>
    <row r="303" spans="24:26" x14ac:dyDescent="0.25">
      <c r="X303" s="449" t="str">
        <f t="shared" si="12"/>
        <v/>
      </c>
      <c r="Y303" s="449" t="str">
        <f t="shared" si="13"/>
        <v/>
      </c>
      <c r="Z303" s="449" t="str">
        <f t="shared" si="14"/>
        <v/>
      </c>
    </row>
    <row r="304" spans="24:26" x14ac:dyDescent="0.25">
      <c r="X304" s="449" t="str">
        <f t="shared" si="12"/>
        <v/>
      </c>
      <c r="Y304" s="449" t="str">
        <f t="shared" si="13"/>
        <v/>
      </c>
      <c r="Z304" s="449" t="str">
        <f t="shared" si="14"/>
        <v/>
      </c>
    </row>
    <row r="305" spans="24:26" x14ac:dyDescent="0.25">
      <c r="X305" s="449" t="str">
        <f t="shared" si="12"/>
        <v/>
      </c>
      <c r="Y305" s="449" t="str">
        <f t="shared" si="13"/>
        <v/>
      </c>
      <c r="Z305" s="449" t="str">
        <f t="shared" si="14"/>
        <v/>
      </c>
    </row>
    <row r="306" spans="24:26" x14ac:dyDescent="0.25">
      <c r="X306" s="449" t="str">
        <f t="shared" si="12"/>
        <v/>
      </c>
      <c r="Y306" s="449" t="str">
        <f t="shared" si="13"/>
        <v/>
      </c>
      <c r="Z306" s="449" t="str">
        <f t="shared" si="14"/>
        <v/>
      </c>
    </row>
    <row r="307" spans="24:26" x14ac:dyDescent="0.25">
      <c r="X307" s="449" t="str">
        <f t="shared" si="12"/>
        <v/>
      </c>
      <c r="Y307" s="449" t="str">
        <f t="shared" si="13"/>
        <v/>
      </c>
      <c r="Z307" s="449" t="str">
        <f t="shared" si="14"/>
        <v/>
      </c>
    </row>
    <row r="308" spans="24:26" x14ac:dyDescent="0.25">
      <c r="X308" s="449" t="str">
        <f t="shared" si="12"/>
        <v/>
      </c>
      <c r="Y308" s="449" t="str">
        <f t="shared" si="13"/>
        <v/>
      </c>
      <c r="Z308" s="449" t="str">
        <f t="shared" si="14"/>
        <v/>
      </c>
    </row>
    <row r="309" spans="24:26" x14ac:dyDescent="0.25">
      <c r="X309" s="449" t="str">
        <f t="shared" si="12"/>
        <v/>
      </c>
      <c r="Y309" s="449" t="str">
        <f t="shared" si="13"/>
        <v/>
      </c>
      <c r="Z309" s="449" t="str">
        <f t="shared" si="14"/>
        <v/>
      </c>
    </row>
    <row r="310" spans="24:26" x14ac:dyDescent="0.25">
      <c r="X310" s="449" t="str">
        <f t="shared" si="12"/>
        <v/>
      </c>
      <c r="Y310" s="449" t="str">
        <f t="shared" si="13"/>
        <v/>
      </c>
      <c r="Z310" s="449" t="str">
        <f t="shared" si="14"/>
        <v/>
      </c>
    </row>
    <row r="311" spans="24:26" x14ac:dyDescent="0.25">
      <c r="X311" s="449" t="str">
        <f t="shared" si="12"/>
        <v/>
      </c>
      <c r="Y311" s="449" t="str">
        <f t="shared" si="13"/>
        <v/>
      </c>
      <c r="Z311" s="449" t="str">
        <f t="shared" si="14"/>
        <v/>
      </c>
    </row>
    <row r="312" spans="24:26" x14ac:dyDescent="0.25">
      <c r="X312" s="449" t="str">
        <f t="shared" si="12"/>
        <v/>
      </c>
      <c r="Y312" s="449" t="str">
        <f t="shared" si="13"/>
        <v/>
      </c>
      <c r="Z312" s="449" t="str">
        <f t="shared" si="14"/>
        <v/>
      </c>
    </row>
    <row r="313" spans="24:26" x14ac:dyDescent="0.25">
      <c r="X313" s="449" t="str">
        <f t="shared" si="12"/>
        <v/>
      </c>
      <c r="Y313" s="449" t="str">
        <f t="shared" si="13"/>
        <v/>
      </c>
      <c r="Z313" s="449" t="str">
        <f t="shared" si="14"/>
        <v/>
      </c>
    </row>
    <row r="314" spans="24:26" x14ac:dyDescent="0.25">
      <c r="X314" s="449" t="str">
        <f t="shared" si="12"/>
        <v/>
      </c>
      <c r="Y314" s="449" t="str">
        <f t="shared" si="13"/>
        <v/>
      </c>
      <c r="Z314" s="449" t="str">
        <f t="shared" si="14"/>
        <v/>
      </c>
    </row>
    <row r="315" spans="24:26" x14ac:dyDescent="0.25">
      <c r="X315" s="449" t="str">
        <f t="shared" si="12"/>
        <v/>
      </c>
      <c r="Y315" s="449" t="str">
        <f t="shared" si="13"/>
        <v/>
      </c>
      <c r="Z315" s="449" t="str">
        <f t="shared" si="14"/>
        <v/>
      </c>
    </row>
    <row r="316" spans="24:26" x14ac:dyDescent="0.25">
      <c r="X316" s="449" t="str">
        <f t="shared" si="12"/>
        <v/>
      </c>
      <c r="Y316" s="449" t="str">
        <f t="shared" si="13"/>
        <v/>
      </c>
      <c r="Z316" s="449" t="str">
        <f t="shared" si="14"/>
        <v/>
      </c>
    </row>
    <row r="317" spans="24:26" x14ac:dyDescent="0.25">
      <c r="X317" s="449" t="str">
        <f t="shared" si="12"/>
        <v/>
      </c>
      <c r="Y317" s="449" t="str">
        <f t="shared" si="13"/>
        <v/>
      </c>
      <c r="Z317" s="449" t="str">
        <f t="shared" si="14"/>
        <v/>
      </c>
    </row>
    <row r="318" spans="24:26" x14ac:dyDescent="0.25">
      <c r="X318" s="449" t="str">
        <f t="shared" si="12"/>
        <v/>
      </c>
      <c r="Y318" s="449" t="str">
        <f t="shared" si="13"/>
        <v/>
      </c>
      <c r="Z318" s="449" t="str">
        <f t="shared" si="14"/>
        <v/>
      </c>
    </row>
    <row r="319" spans="24:26" x14ac:dyDescent="0.25">
      <c r="X319" s="449" t="str">
        <f t="shared" si="12"/>
        <v/>
      </c>
      <c r="Y319" s="449" t="str">
        <f t="shared" si="13"/>
        <v/>
      </c>
      <c r="Z319" s="449" t="str">
        <f t="shared" si="14"/>
        <v/>
      </c>
    </row>
    <row r="320" spans="24:26" x14ac:dyDescent="0.25">
      <c r="X320" s="449" t="str">
        <f t="shared" si="12"/>
        <v/>
      </c>
      <c r="Y320" s="449" t="str">
        <f t="shared" si="13"/>
        <v/>
      </c>
      <c r="Z320" s="449" t="str">
        <f t="shared" si="14"/>
        <v/>
      </c>
    </row>
    <row r="321" spans="24:26" x14ac:dyDescent="0.25">
      <c r="X321" s="449" t="str">
        <f t="shared" si="12"/>
        <v/>
      </c>
      <c r="Y321" s="449" t="str">
        <f t="shared" si="13"/>
        <v/>
      </c>
      <c r="Z321" s="449" t="str">
        <f t="shared" si="14"/>
        <v/>
      </c>
    </row>
    <row r="322" spans="24:26" x14ac:dyDescent="0.25">
      <c r="X322" s="449" t="str">
        <f t="shared" si="12"/>
        <v/>
      </c>
      <c r="Y322" s="449" t="str">
        <f t="shared" si="13"/>
        <v/>
      </c>
      <c r="Z322" s="449" t="str">
        <f t="shared" si="14"/>
        <v/>
      </c>
    </row>
    <row r="323" spans="24:26" x14ac:dyDescent="0.25">
      <c r="X323" s="449" t="str">
        <f t="shared" si="12"/>
        <v/>
      </c>
      <c r="Y323" s="449" t="str">
        <f t="shared" si="13"/>
        <v/>
      </c>
      <c r="Z323" s="449" t="str">
        <f t="shared" si="14"/>
        <v/>
      </c>
    </row>
    <row r="324" spans="24:26" x14ac:dyDescent="0.25">
      <c r="X324" s="449" t="str">
        <f t="shared" ref="X324:X387" si="15">IF(Z324="","",IF(OR(Z324="21",Z324="22",Z324="36",Z324="61",Z324="24"),Z324,LEFT(Z324,1)&amp;"0"))</f>
        <v/>
      </c>
      <c r="Y324" s="449" t="str">
        <f t="shared" ref="Y324:Y387" si="16">IF(AB324="","",IF(OR(LEFT(AB324,1)="3",LEFT(AB324,1)="4",LEFT(AB324,1)="5"),"300",IF(OR(LEFT(AB324,1)="9",LEFT(AB324,1)="0"),"900",LEFT(AB324,3))))</f>
        <v/>
      </c>
      <c r="Z324" s="449" t="str">
        <f t="shared" ref="Z324:Z387" si="17">LEFT(AA324,2)</f>
        <v/>
      </c>
    </row>
    <row r="325" spans="24:26" x14ac:dyDescent="0.25">
      <c r="X325" s="449" t="str">
        <f t="shared" si="15"/>
        <v/>
      </c>
      <c r="Y325" s="449" t="str">
        <f t="shared" si="16"/>
        <v/>
      </c>
      <c r="Z325" s="449" t="str">
        <f t="shared" si="17"/>
        <v/>
      </c>
    </row>
    <row r="326" spans="24:26" x14ac:dyDescent="0.25">
      <c r="X326" s="449" t="str">
        <f t="shared" si="15"/>
        <v/>
      </c>
      <c r="Y326" s="449" t="str">
        <f t="shared" si="16"/>
        <v/>
      </c>
      <c r="Z326" s="449" t="str">
        <f t="shared" si="17"/>
        <v/>
      </c>
    </row>
    <row r="327" spans="24:26" x14ac:dyDescent="0.25">
      <c r="X327" s="449" t="str">
        <f t="shared" si="15"/>
        <v/>
      </c>
      <c r="Y327" s="449" t="str">
        <f t="shared" si="16"/>
        <v/>
      </c>
      <c r="Z327" s="449" t="str">
        <f t="shared" si="17"/>
        <v/>
      </c>
    </row>
    <row r="328" spans="24:26" x14ac:dyDescent="0.25">
      <c r="X328" s="449" t="str">
        <f t="shared" si="15"/>
        <v/>
      </c>
      <c r="Y328" s="449" t="str">
        <f t="shared" si="16"/>
        <v/>
      </c>
      <c r="Z328" s="449" t="str">
        <f t="shared" si="17"/>
        <v/>
      </c>
    </row>
    <row r="329" spans="24:26" x14ac:dyDescent="0.25">
      <c r="X329" s="449" t="str">
        <f t="shared" si="15"/>
        <v/>
      </c>
      <c r="Y329" s="449" t="str">
        <f t="shared" si="16"/>
        <v/>
      </c>
      <c r="Z329" s="449" t="str">
        <f t="shared" si="17"/>
        <v/>
      </c>
    </row>
    <row r="330" spans="24:26" x14ac:dyDescent="0.25">
      <c r="X330" s="449" t="str">
        <f t="shared" si="15"/>
        <v/>
      </c>
      <c r="Y330" s="449" t="str">
        <f t="shared" si="16"/>
        <v/>
      </c>
      <c r="Z330" s="449" t="str">
        <f t="shared" si="17"/>
        <v/>
      </c>
    </row>
    <row r="331" spans="24:26" x14ac:dyDescent="0.25">
      <c r="X331" s="449" t="str">
        <f t="shared" si="15"/>
        <v/>
      </c>
      <c r="Y331" s="449" t="str">
        <f t="shared" si="16"/>
        <v/>
      </c>
      <c r="Z331" s="449" t="str">
        <f t="shared" si="17"/>
        <v/>
      </c>
    </row>
    <row r="332" spans="24:26" x14ac:dyDescent="0.25">
      <c r="X332" s="449" t="str">
        <f t="shared" si="15"/>
        <v/>
      </c>
      <c r="Y332" s="449" t="str">
        <f t="shared" si="16"/>
        <v/>
      </c>
      <c r="Z332" s="449" t="str">
        <f t="shared" si="17"/>
        <v/>
      </c>
    </row>
    <row r="333" spans="24:26" x14ac:dyDescent="0.25">
      <c r="X333" s="449" t="str">
        <f t="shared" si="15"/>
        <v/>
      </c>
      <c r="Y333" s="449" t="str">
        <f t="shared" si="16"/>
        <v/>
      </c>
      <c r="Z333" s="449" t="str">
        <f t="shared" si="17"/>
        <v/>
      </c>
    </row>
    <row r="334" spans="24:26" x14ac:dyDescent="0.25">
      <c r="X334" s="449" t="str">
        <f t="shared" si="15"/>
        <v/>
      </c>
      <c r="Y334" s="449" t="str">
        <f t="shared" si="16"/>
        <v/>
      </c>
      <c r="Z334" s="449" t="str">
        <f t="shared" si="17"/>
        <v/>
      </c>
    </row>
    <row r="335" spans="24:26" x14ac:dyDescent="0.25">
      <c r="X335" s="449" t="str">
        <f t="shared" si="15"/>
        <v/>
      </c>
      <c r="Y335" s="449" t="str">
        <f t="shared" si="16"/>
        <v/>
      </c>
      <c r="Z335" s="449" t="str">
        <f t="shared" si="17"/>
        <v/>
      </c>
    </row>
    <row r="336" spans="24:26" x14ac:dyDescent="0.25">
      <c r="X336" s="449" t="str">
        <f t="shared" si="15"/>
        <v/>
      </c>
      <c r="Y336" s="449" t="str">
        <f t="shared" si="16"/>
        <v/>
      </c>
      <c r="Z336" s="449" t="str">
        <f t="shared" si="17"/>
        <v/>
      </c>
    </row>
    <row r="337" spans="24:26" x14ac:dyDescent="0.25">
      <c r="X337" s="449" t="str">
        <f t="shared" si="15"/>
        <v/>
      </c>
      <c r="Y337" s="449" t="str">
        <f t="shared" si="16"/>
        <v/>
      </c>
      <c r="Z337" s="449" t="str">
        <f t="shared" si="17"/>
        <v/>
      </c>
    </row>
    <row r="338" spans="24:26" x14ac:dyDescent="0.25">
      <c r="X338" s="449" t="str">
        <f t="shared" si="15"/>
        <v/>
      </c>
      <c r="Y338" s="449" t="str">
        <f t="shared" si="16"/>
        <v/>
      </c>
      <c r="Z338" s="449" t="str">
        <f t="shared" si="17"/>
        <v/>
      </c>
    </row>
    <row r="339" spans="24:26" x14ac:dyDescent="0.25">
      <c r="X339" s="449" t="str">
        <f t="shared" si="15"/>
        <v/>
      </c>
      <c r="Y339" s="449" t="str">
        <f t="shared" si="16"/>
        <v/>
      </c>
      <c r="Z339" s="449" t="str">
        <f t="shared" si="17"/>
        <v/>
      </c>
    </row>
    <row r="340" spans="24:26" x14ac:dyDescent="0.25">
      <c r="X340" s="449" t="str">
        <f t="shared" si="15"/>
        <v/>
      </c>
      <c r="Y340" s="449" t="str">
        <f t="shared" si="16"/>
        <v/>
      </c>
      <c r="Z340" s="449" t="str">
        <f t="shared" si="17"/>
        <v/>
      </c>
    </row>
    <row r="341" spans="24:26" x14ac:dyDescent="0.25">
      <c r="X341" s="449" t="str">
        <f t="shared" si="15"/>
        <v/>
      </c>
      <c r="Y341" s="449" t="str">
        <f t="shared" si="16"/>
        <v/>
      </c>
      <c r="Z341" s="449" t="str">
        <f t="shared" si="17"/>
        <v/>
      </c>
    </row>
    <row r="342" spans="24:26" x14ac:dyDescent="0.25">
      <c r="X342" s="449" t="str">
        <f t="shared" si="15"/>
        <v/>
      </c>
      <c r="Y342" s="449" t="str">
        <f t="shared" si="16"/>
        <v/>
      </c>
      <c r="Z342" s="449" t="str">
        <f t="shared" si="17"/>
        <v/>
      </c>
    </row>
    <row r="343" spans="24:26" x14ac:dyDescent="0.25">
      <c r="X343" s="449" t="str">
        <f t="shared" si="15"/>
        <v/>
      </c>
      <c r="Y343" s="449" t="str">
        <f t="shared" si="16"/>
        <v/>
      </c>
      <c r="Z343" s="449" t="str">
        <f t="shared" si="17"/>
        <v/>
      </c>
    </row>
    <row r="344" spans="24:26" x14ac:dyDescent="0.25">
      <c r="X344" s="449" t="str">
        <f t="shared" si="15"/>
        <v/>
      </c>
      <c r="Y344" s="449" t="str">
        <f t="shared" si="16"/>
        <v/>
      </c>
      <c r="Z344" s="449" t="str">
        <f t="shared" si="17"/>
        <v/>
      </c>
    </row>
    <row r="345" spans="24:26" x14ac:dyDescent="0.25">
      <c r="X345" s="449" t="str">
        <f t="shared" si="15"/>
        <v/>
      </c>
      <c r="Y345" s="449" t="str">
        <f t="shared" si="16"/>
        <v/>
      </c>
      <c r="Z345" s="449" t="str">
        <f t="shared" si="17"/>
        <v/>
      </c>
    </row>
    <row r="346" spans="24:26" x14ac:dyDescent="0.25">
      <c r="X346" s="449" t="str">
        <f t="shared" si="15"/>
        <v/>
      </c>
      <c r="Y346" s="449" t="str">
        <f t="shared" si="16"/>
        <v/>
      </c>
      <c r="Z346" s="449" t="str">
        <f t="shared" si="17"/>
        <v/>
      </c>
    </row>
    <row r="347" spans="24:26" x14ac:dyDescent="0.25">
      <c r="X347" s="449" t="str">
        <f t="shared" si="15"/>
        <v/>
      </c>
      <c r="Y347" s="449" t="str">
        <f t="shared" si="16"/>
        <v/>
      </c>
      <c r="Z347" s="449" t="str">
        <f t="shared" si="17"/>
        <v/>
      </c>
    </row>
    <row r="348" spans="24:26" x14ac:dyDescent="0.25">
      <c r="X348" s="449" t="str">
        <f t="shared" si="15"/>
        <v/>
      </c>
      <c r="Y348" s="449" t="str">
        <f t="shared" si="16"/>
        <v/>
      </c>
      <c r="Z348" s="449" t="str">
        <f t="shared" si="17"/>
        <v/>
      </c>
    </row>
    <row r="349" spans="24:26" x14ac:dyDescent="0.25">
      <c r="X349" s="449" t="str">
        <f t="shared" si="15"/>
        <v/>
      </c>
      <c r="Y349" s="449" t="str">
        <f t="shared" si="16"/>
        <v/>
      </c>
      <c r="Z349" s="449" t="str">
        <f t="shared" si="17"/>
        <v/>
      </c>
    </row>
    <row r="350" spans="24:26" x14ac:dyDescent="0.25">
      <c r="X350" s="449" t="str">
        <f t="shared" si="15"/>
        <v/>
      </c>
      <c r="Y350" s="449" t="str">
        <f t="shared" si="16"/>
        <v/>
      </c>
      <c r="Z350" s="449" t="str">
        <f t="shared" si="17"/>
        <v/>
      </c>
    </row>
    <row r="351" spans="24:26" x14ac:dyDescent="0.25">
      <c r="X351" s="449" t="str">
        <f t="shared" si="15"/>
        <v/>
      </c>
      <c r="Y351" s="449" t="str">
        <f t="shared" si="16"/>
        <v/>
      </c>
      <c r="Z351" s="449" t="str">
        <f t="shared" si="17"/>
        <v/>
      </c>
    </row>
    <row r="352" spans="24:26" x14ac:dyDescent="0.25">
      <c r="X352" s="449" t="str">
        <f t="shared" si="15"/>
        <v/>
      </c>
      <c r="Y352" s="449" t="str">
        <f t="shared" si="16"/>
        <v/>
      </c>
      <c r="Z352" s="449" t="str">
        <f t="shared" si="17"/>
        <v/>
      </c>
    </row>
    <row r="353" spans="24:26" x14ac:dyDescent="0.25">
      <c r="X353" s="449" t="str">
        <f t="shared" si="15"/>
        <v/>
      </c>
      <c r="Y353" s="449" t="str">
        <f t="shared" si="16"/>
        <v/>
      </c>
      <c r="Z353" s="449" t="str">
        <f t="shared" si="17"/>
        <v/>
      </c>
    </row>
    <row r="354" spans="24:26" x14ac:dyDescent="0.25">
      <c r="X354" s="449" t="str">
        <f t="shared" si="15"/>
        <v/>
      </c>
      <c r="Y354" s="449" t="str">
        <f t="shared" si="16"/>
        <v/>
      </c>
      <c r="Z354" s="449" t="str">
        <f t="shared" si="17"/>
        <v/>
      </c>
    </row>
    <row r="355" spans="24:26" x14ac:dyDescent="0.25">
      <c r="X355" s="449" t="str">
        <f t="shared" si="15"/>
        <v/>
      </c>
      <c r="Y355" s="449" t="str">
        <f t="shared" si="16"/>
        <v/>
      </c>
      <c r="Z355" s="449" t="str">
        <f t="shared" si="17"/>
        <v/>
      </c>
    </row>
    <row r="356" spans="24:26" x14ac:dyDescent="0.25">
      <c r="X356" s="449" t="str">
        <f t="shared" si="15"/>
        <v/>
      </c>
      <c r="Y356" s="449" t="str">
        <f t="shared" si="16"/>
        <v/>
      </c>
      <c r="Z356" s="449" t="str">
        <f t="shared" si="17"/>
        <v/>
      </c>
    </row>
    <row r="357" spans="24:26" x14ac:dyDescent="0.25">
      <c r="X357" s="449" t="str">
        <f t="shared" si="15"/>
        <v/>
      </c>
      <c r="Y357" s="449" t="str">
        <f t="shared" si="16"/>
        <v/>
      </c>
      <c r="Z357" s="449" t="str">
        <f t="shared" si="17"/>
        <v/>
      </c>
    </row>
    <row r="358" spans="24:26" x14ac:dyDescent="0.25">
      <c r="X358" s="449" t="str">
        <f t="shared" si="15"/>
        <v/>
      </c>
      <c r="Y358" s="449" t="str">
        <f t="shared" si="16"/>
        <v/>
      </c>
      <c r="Z358" s="449" t="str">
        <f t="shared" si="17"/>
        <v/>
      </c>
    </row>
    <row r="359" spans="24:26" x14ac:dyDescent="0.25">
      <c r="X359" s="449" t="str">
        <f t="shared" si="15"/>
        <v/>
      </c>
      <c r="Y359" s="449" t="str">
        <f t="shared" si="16"/>
        <v/>
      </c>
      <c r="Z359" s="449" t="str">
        <f t="shared" si="17"/>
        <v/>
      </c>
    </row>
    <row r="360" spans="24:26" x14ac:dyDescent="0.25">
      <c r="X360" s="449" t="str">
        <f t="shared" si="15"/>
        <v/>
      </c>
      <c r="Y360" s="449" t="str">
        <f t="shared" si="16"/>
        <v/>
      </c>
      <c r="Z360" s="449" t="str">
        <f t="shared" si="17"/>
        <v/>
      </c>
    </row>
    <row r="361" spans="24:26" x14ac:dyDescent="0.25">
      <c r="X361" s="449" t="str">
        <f t="shared" si="15"/>
        <v/>
      </c>
      <c r="Y361" s="449" t="str">
        <f t="shared" si="16"/>
        <v/>
      </c>
      <c r="Z361" s="449" t="str">
        <f t="shared" si="17"/>
        <v/>
      </c>
    </row>
    <row r="362" spans="24:26" x14ac:dyDescent="0.25">
      <c r="X362" s="449" t="str">
        <f t="shared" si="15"/>
        <v/>
      </c>
      <c r="Y362" s="449" t="str">
        <f t="shared" si="16"/>
        <v/>
      </c>
      <c r="Z362" s="449" t="str">
        <f t="shared" si="17"/>
        <v/>
      </c>
    </row>
    <row r="363" spans="24:26" x14ac:dyDescent="0.25">
      <c r="X363" s="449" t="str">
        <f t="shared" si="15"/>
        <v/>
      </c>
      <c r="Y363" s="449" t="str">
        <f t="shared" si="16"/>
        <v/>
      </c>
      <c r="Z363" s="449" t="str">
        <f t="shared" si="17"/>
        <v/>
      </c>
    </row>
    <row r="364" spans="24:26" x14ac:dyDescent="0.25">
      <c r="X364" s="449" t="str">
        <f t="shared" si="15"/>
        <v/>
      </c>
      <c r="Y364" s="449" t="str">
        <f t="shared" si="16"/>
        <v/>
      </c>
      <c r="Z364" s="449" t="str">
        <f t="shared" si="17"/>
        <v/>
      </c>
    </row>
    <row r="365" spans="24:26" x14ac:dyDescent="0.25">
      <c r="X365" s="449" t="str">
        <f t="shared" si="15"/>
        <v/>
      </c>
      <c r="Y365" s="449" t="str">
        <f t="shared" si="16"/>
        <v/>
      </c>
      <c r="Z365" s="449" t="str">
        <f t="shared" si="17"/>
        <v/>
      </c>
    </row>
    <row r="366" spans="24:26" x14ac:dyDescent="0.25">
      <c r="X366" s="449" t="str">
        <f t="shared" si="15"/>
        <v/>
      </c>
      <c r="Y366" s="449" t="str">
        <f t="shared" si="16"/>
        <v/>
      </c>
      <c r="Z366" s="449" t="str">
        <f t="shared" si="17"/>
        <v/>
      </c>
    </row>
    <row r="367" spans="24:26" x14ac:dyDescent="0.25">
      <c r="X367" s="449" t="str">
        <f t="shared" si="15"/>
        <v/>
      </c>
      <c r="Y367" s="449" t="str">
        <f t="shared" si="16"/>
        <v/>
      </c>
      <c r="Z367" s="449" t="str">
        <f t="shared" si="17"/>
        <v/>
      </c>
    </row>
    <row r="368" spans="24:26" x14ac:dyDescent="0.25">
      <c r="X368" s="449" t="str">
        <f t="shared" si="15"/>
        <v/>
      </c>
      <c r="Y368" s="449" t="str">
        <f t="shared" si="16"/>
        <v/>
      </c>
      <c r="Z368" s="449" t="str">
        <f t="shared" si="17"/>
        <v/>
      </c>
    </row>
    <row r="369" spans="24:26" x14ac:dyDescent="0.25">
      <c r="X369" s="449" t="str">
        <f t="shared" si="15"/>
        <v/>
      </c>
      <c r="Y369" s="449" t="str">
        <f t="shared" si="16"/>
        <v/>
      </c>
      <c r="Z369" s="449" t="str">
        <f t="shared" si="17"/>
        <v/>
      </c>
    </row>
    <row r="370" spans="24:26" x14ac:dyDescent="0.25">
      <c r="X370" s="449" t="str">
        <f t="shared" si="15"/>
        <v/>
      </c>
      <c r="Y370" s="449" t="str">
        <f t="shared" si="16"/>
        <v/>
      </c>
      <c r="Z370" s="449" t="str">
        <f t="shared" si="17"/>
        <v/>
      </c>
    </row>
    <row r="371" spans="24:26" x14ac:dyDescent="0.25">
      <c r="X371" s="449" t="str">
        <f t="shared" si="15"/>
        <v/>
      </c>
      <c r="Y371" s="449" t="str">
        <f t="shared" si="16"/>
        <v/>
      </c>
      <c r="Z371" s="449" t="str">
        <f t="shared" si="17"/>
        <v/>
      </c>
    </row>
    <row r="372" spans="24:26" x14ac:dyDescent="0.25">
      <c r="X372" s="449" t="str">
        <f t="shared" si="15"/>
        <v/>
      </c>
      <c r="Y372" s="449" t="str">
        <f t="shared" si="16"/>
        <v/>
      </c>
      <c r="Z372" s="449" t="str">
        <f t="shared" si="17"/>
        <v/>
      </c>
    </row>
    <row r="373" spans="24:26" x14ac:dyDescent="0.25">
      <c r="X373" s="449" t="str">
        <f t="shared" si="15"/>
        <v/>
      </c>
      <c r="Y373" s="449" t="str">
        <f t="shared" si="16"/>
        <v/>
      </c>
      <c r="Z373" s="449" t="str">
        <f t="shared" si="17"/>
        <v/>
      </c>
    </row>
    <row r="374" spans="24:26" x14ac:dyDescent="0.25">
      <c r="X374" s="449" t="str">
        <f t="shared" si="15"/>
        <v/>
      </c>
      <c r="Y374" s="449" t="str">
        <f t="shared" si="16"/>
        <v/>
      </c>
      <c r="Z374" s="449" t="str">
        <f t="shared" si="17"/>
        <v/>
      </c>
    </row>
    <row r="375" spans="24:26" x14ac:dyDescent="0.25">
      <c r="X375" s="449" t="str">
        <f t="shared" si="15"/>
        <v/>
      </c>
      <c r="Y375" s="449" t="str">
        <f t="shared" si="16"/>
        <v/>
      </c>
      <c r="Z375" s="449" t="str">
        <f t="shared" si="17"/>
        <v/>
      </c>
    </row>
    <row r="376" spans="24:26" x14ac:dyDescent="0.25">
      <c r="X376" s="449" t="str">
        <f t="shared" si="15"/>
        <v/>
      </c>
      <c r="Y376" s="449" t="str">
        <f t="shared" si="16"/>
        <v/>
      </c>
      <c r="Z376" s="449" t="str">
        <f t="shared" si="17"/>
        <v/>
      </c>
    </row>
    <row r="377" spans="24:26" x14ac:dyDescent="0.25">
      <c r="X377" s="449" t="str">
        <f t="shared" si="15"/>
        <v/>
      </c>
      <c r="Y377" s="449" t="str">
        <f t="shared" si="16"/>
        <v/>
      </c>
      <c r="Z377" s="449" t="str">
        <f t="shared" si="17"/>
        <v/>
      </c>
    </row>
    <row r="378" spans="24:26" x14ac:dyDescent="0.25">
      <c r="X378" s="449" t="str">
        <f t="shared" si="15"/>
        <v/>
      </c>
      <c r="Y378" s="449" t="str">
        <f t="shared" si="16"/>
        <v/>
      </c>
      <c r="Z378" s="449" t="str">
        <f t="shared" si="17"/>
        <v/>
      </c>
    </row>
    <row r="379" spans="24:26" x14ac:dyDescent="0.25">
      <c r="X379" s="449" t="str">
        <f t="shared" si="15"/>
        <v/>
      </c>
      <c r="Y379" s="449" t="str">
        <f t="shared" si="16"/>
        <v/>
      </c>
      <c r="Z379" s="449" t="str">
        <f t="shared" si="17"/>
        <v/>
      </c>
    </row>
    <row r="380" spans="24:26" x14ac:dyDescent="0.25">
      <c r="X380" s="449" t="str">
        <f t="shared" si="15"/>
        <v/>
      </c>
      <c r="Y380" s="449" t="str">
        <f t="shared" si="16"/>
        <v/>
      </c>
      <c r="Z380" s="449" t="str">
        <f t="shared" si="17"/>
        <v/>
      </c>
    </row>
    <row r="381" spans="24:26" x14ac:dyDescent="0.25">
      <c r="X381" s="449" t="str">
        <f t="shared" si="15"/>
        <v/>
      </c>
      <c r="Y381" s="449" t="str">
        <f t="shared" si="16"/>
        <v/>
      </c>
      <c r="Z381" s="449" t="str">
        <f t="shared" si="17"/>
        <v/>
      </c>
    </row>
    <row r="382" spans="24:26" x14ac:dyDescent="0.25">
      <c r="X382" s="449" t="str">
        <f t="shared" si="15"/>
        <v/>
      </c>
      <c r="Y382" s="449" t="str">
        <f t="shared" si="16"/>
        <v/>
      </c>
      <c r="Z382" s="449" t="str">
        <f t="shared" si="17"/>
        <v/>
      </c>
    </row>
    <row r="383" spans="24:26" x14ac:dyDescent="0.25">
      <c r="X383" s="449" t="str">
        <f t="shared" si="15"/>
        <v/>
      </c>
      <c r="Y383" s="449" t="str">
        <f t="shared" si="16"/>
        <v/>
      </c>
      <c r="Z383" s="449" t="str">
        <f t="shared" si="17"/>
        <v/>
      </c>
    </row>
    <row r="384" spans="24:26" x14ac:dyDescent="0.25">
      <c r="X384" s="449" t="str">
        <f t="shared" si="15"/>
        <v/>
      </c>
      <c r="Y384" s="449" t="str">
        <f t="shared" si="16"/>
        <v/>
      </c>
      <c r="Z384" s="449" t="str">
        <f t="shared" si="17"/>
        <v/>
      </c>
    </row>
    <row r="385" spans="24:26" x14ac:dyDescent="0.25">
      <c r="X385" s="449" t="str">
        <f t="shared" si="15"/>
        <v/>
      </c>
      <c r="Y385" s="449" t="str">
        <f t="shared" si="16"/>
        <v/>
      </c>
      <c r="Z385" s="449" t="str">
        <f t="shared" si="17"/>
        <v/>
      </c>
    </row>
    <row r="386" spans="24:26" x14ac:dyDescent="0.25">
      <c r="X386" s="449" t="str">
        <f t="shared" si="15"/>
        <v/>
      </c>
      <c r="Y386" s="449" t="str">
        <f t="shared" si="16"/>
        <v/>
      </c>
      <c r="Z386" s="449" t="str">
        <f t="shared" si="17"/>
        <v/>
      </c>
    </row>
    <row r="387" spans="24:26" x14ac:dyDescent="0.25">
      <c r="X387" s="449" t="str">
        <f t="shared" si="15"/>
        <v/>
      </c>
      <c r="Y387" s="449" t="str">
        <f t="shared" si="16"/>
        <v/>
      </c>
      <c r="Z387" s="449" t="str">
        <f t="shared" si="17"/>
        <v/>
      </c>
    </row>
    <row r="388" spans="24:26" x14ac:dyDescent="0.25">
      <c r="X388" s="449" t="str">
        <f t="shared" ref="X388:X451" si="18">IF(Z388="","",IF(OR(Z388="21",Z388="22",Z388="36",Z388="61",Z388="24"),Z388,LEFT(Z388,1)&amp;"0"))</f>
        <v/>
      </c>
      <c r="Y388" s="449" t="str">
        <f t="shared" ref="Y388:Y451" si="19">IF(AB388="","",IF(OR(LEFT(AB388,1)="3",LEFT(AB388,1)="4",LEFT(AB388,1)="5"),"300",IF(OR(LEFT(AB388,1)="9",LEFT(AB388,1)="0"),"900",LEFT(AB388,3))))</f>
        <v/>
      </c>
      <c r="Z388" s="449" t="str">
        <f t="shared" ref="Z388:Z451" si="20">LEFT(AA388,2)</f>
        <v/>
      </c>
    </row>
    <row r="389" spans="24:26" x14ac:dyDescent="0.25">
      <c r="X389" s="449" t="str">
        <f t="shared" si="18"/>
        <v/>
      </c>
      <c r="Y389" s="449" t="str">
        <f t="shared" si="19"/>
        <v/>
      </c>
      <c r="Z389" s="449" t="str">
        <f t="shared" si="20"/>
        <v/>
      </c>
    </row>
    <row r="390" spans="24:26" x14ac:dyDescent="0.25">
      <c r="X390" s="449" t="str">
        <f t="shared" si="18"/>
        <v/>
      </c>
      <c r="Y390" s="449" t="str">
        <f t="shared" si="19"/>
        <v/>
      </c>
      <c r="Z390" s="449" t="str">
        <f t="shared" si="20"/>
        <v/>
      </c>
    </row>
    <row r="391" spans="24:26" x14ac:dyDescent="0.25">
      <c r="X391" s="449" t="str">
        <f t="shared" si="18"/>
        <v/>
      </c>
      <c r="Y391" s="449" t="str">
        <f t="shared" si="19"/>
        <v/>
      </c>
      <c r="Z391" s="449" t="str">
        <f t="shared" si="20"/>
        <v/>
      </c>
    </row>
    <row r="392" spans="24:26" x14ac:dyDescent="0.25">
      <c r="X392" s="449" t="str">
        <f t="shared" si="18"/>
        <v/>
      </c>
      <c r="Y392" s="449" t="str">
        <f t="shared" si="19"/>
        <v/>
      </c>
      <c r="Z392" s="449" t="str">
        <f t="shared" si="20"/>
        <v/>
      </c>
    </row>
    <row r="393" spans="24:26" x14ac:dyDescent="0.25">
      <c r="X393" s="449" t="str">
        <f t="shared" si="18"/>
        <v/>
      </c>
      <c r="Y393" s="449" t="str">
        <f t="shared" si="19"/>
        <v/>
      </c>
      <c r="Z393" s="449" t="str">
        <f t="shared" si="20"/>
        <v/>
      </c>
    </row>
    <row r="394" spans="24:26" x14ac:dyDescent="0.25">
      <c r="X394" s="449" t="str">
        <f t="shared" si="18"/>
        <v/>
      </c>
      <c r="Y394" s="449" t="str">
        <f t="shared" si="19"/>
        <v/>
      </c>
      <c r="Z394" s="449" t="str">
        <f t="shared" si="20"/>
        <v/>
      </c>
    </row>
    <row r="395" spans="24:26" x14ac:dyDescent="0.25">
      <c r="X395" s="449" t="str">
        <f t="shared" si="18"/>
        <v/>
      </c>
      <c r="Y395" s="449" t="str">
        <f t="shared" si="19"/>
        <v/>
      </c>
      <c r="Z395" s="449" t="str">
        <f t="shared" si="20"/>
        <v/>
      </c>
    </row>
    <row r="396" spans="24:26" x14ac:dyDescent="0.25">
      <c r="X396" s="449" t="str">
        <f t="shared" si="18"/>
        <v/>
      </c>
      <c r="Y396" s="449" t="str">
        <f t="shared" si="19"/>
        <v/>
      </c>
      <c r="Z396" s="449" t="str">
        <f t="shared" si="20"/>
        <v/>
      </c>
    </row>
    <row r="397" spans="24:26" x14ac:dyDescent="0.25">
      <c r="X397" s="449" t="str">
        <f t="shared" si="18"/>
        <v/>
      </c>
      <c r="Y397" s="449" t="str">
        <f t="shared" si="19"/>
        <v/>
      </c>
      <c r="Z397" s="449" t="str">
        <f t="shared" si="20"/>
        <v/>
      </c>
    </row>
    <row r="398" spans="24:26" x14ac:dyDescent="0.25">
      <c r="X398" s="449" t="str">
        <f t="shared" si="18"/>
        <v/>
      </c>
      <c r="Y398" s="449" t="str">
        <f t="shared" si="19"/>
        <v/>
      </c>
      <c r="Z398" s="449" t="str">
        <f t="shared" si="20"/>
        <v/>
      </c>
    </row>
    <row r="399" spans="24:26" x14ac:dyDescent="0.25">
      <c r="X399" s="449" t="str">
        <f t="shared" si="18"/>
        <v/>
      </c>
      <c r="Y399" s="449" t="str">
        <f t="shared" si="19"/>
        <v/>
      </c>
      <c r="Z399" s="449" t="str">
        <f t="shared" si="20"/>
        <v/>
      </c>
    </row>
    <row r="400" spans="24:26" x14ac:dyDescent="0.25">
      <c r="X400" s="449" t="str">
        <f t="shared" si="18"/>
        <v/>
      </c>
      <c r="Y400" s="449" t="str">
        <f t="shared" si="19"/>
        <v/>
      </c>
      <c r="Z400" s="449" t="str">
        <f t="shared" si="20"/>
        <v/>
      </c>
    </row>
    <row r="401" spans="24:26" x14ac:dyDescent="0.25">
      <c r="X401" s="449" t="str">
        <f t="shared" si="18"/>
        <v/>
      </c>
      <c r="Y401" s="449" t="str">
        <f t="shared" si="19"/>
        <v/>
      </c>
      <c r="Z401" s="449" t="str">
        <f t="shared" si="20"/>
        <v/>
      </c>
    </row>
    <row r="402" spans="24:26" x14ac:dyDescent="0.25">
      <c r="X402" s="449" t="str">
        <f t="shared" si="18"/>
        <v/>
      </c>
      <c r="Y402" s="449" t="str">
        <f t="shared" si="19"/>
        <v/>
      </c>
      <c r="Z402" s="449" t="str">
        <f t="shared" si="20"/>
        <v/>
      </c>
    </row>
    <row r="403" spans="24:26" x14ac:dyDescent="0.25">
      <c r="X403" s="449" t="str">
        <f t="shared" si="18"/>
        <v/>
      </c>
      <c r="Y403" s="449" t="str">
        <f t="shared" si="19"/>
        <v/>
      </c>
      <c r="Z403" s="449" t="str">
        <f t="shared" si="20"/>
        <v/>
      </c>
    </row>
    <row r="404" spans="24:26" x14ac:dyDescent="0.25">
      <c r="X404" s="449" t="str">
        <f t="shared" si="18"/>
        <v/>
      </c>
      <c r="Y404" s="449" t="str">
        <f t="shared" si="19"/>
        <v/>
      </c>
      <c r="Z404" s="449" t="str">
        <f t="shared" si="20"/>
        <v/>
      </c>
    </row>
    <row r="405" spans="24:26" x14ac:dyDescent="0.25">
      <c r="X405" s="449" t="str">
        <f t="shared" si="18"/>
        <v/>
      </c>
      <c r="Y405" s="449" t="str">
        <f t="shared" si="19"/>
        <v/>
      </c>
      <c r="Z405" s="449" t="str">
        <f t="shared" si="20"/>
        <v/>
      </c>
    </row>
    <row r="406" spans="24:26" x14ac:dyDescent="0.25">
      <c r="X406" s="449" t="str">
        <f t="shared" si="18"/>
        <v/>
      </c>
      <c r="Y406" s="449" t="str">
        <f t="shared" si="19"/>
        <v/>
      </c>
      <c r="Z406" s="449" t="str">
        <f t="shared" si="20"/>
        <v/>
      </c>
    </row>
    <row r="407" spans="24:26" x14ac:dyDescent="0.25">
      <c r="X407" s="449" t="str">
        <f t="shared" si="18"/>
        <v/>
      </c>
      <c r="Y407" s="449" t="str">
        <f t="shared" si="19"/>
        <v/>
      </c>
      <c r="Z407" s="449" t="str">
        <f t="shared" si="20"/>
        <v/>
      </c>
    </row>
    <row r="408" spans="24:26" x14ac:dyDescent="0.25">
      <c r="X408" s="449" t="str">
        <f t="shared" si="18"/>
        <v/>
      </c>
      <c r="Y408" s="449" t="str">
        <f t="shared" si="19"/>
        <v/>
      </c>
      <c r="Z408" s="449" t="str">
        <f t="shared" si="20"/>
        <v/>
      </c>
    </row>
    <row r="409" spans="24:26" x14ac:dyDescent="0.25">
      <c r="X409" s="449" t="str">
        <f t="shared" si="18"/>
        <v/>
      </c>
      <c r="Y409" s="449" t="str">
        <f t="shared" si="19"/>
        <v/>
      </c>
      <c r="Z409" s="449" t="str">
        <f t="shared" si="20"/>
        <v/>
      </c>
    </row>
    <row r="410" spans="24:26" x14ac:dyDescent="0.25">
      <c r="X410" s="449" t="str">
        <f t="shared" si="18"/>
        <v/>
      </c>
      <c r="Y410" s="449" t="str">
        <f t="shared" si="19"/>
        <v/>
      </c>
      <c r="Z410" s="449" t="str">
        <f t="shared" si="20"/>
        <v/>
      </c>
    </row>
    <row r="411" spans="24:26" x14ac:dyDescent="0.25">
      <c r="X411" s="449" t="str">
        <f t="shared" si="18"/>
        <v/>
      </c>
      <c r="Y411" s="449" t="str">
        <f t="shared" si="19"/>
        <v/>
      </c>
      <c r="Z411" s="449" t="str">
        <f t="shared" si="20"/>
        <v/>
      </c>
    </row>
    <row r="412" spans="24:26" x14ac:dyDescent="0.25">
      <c r="X412" s="449" t="str">
        <f t="shared" si="18"/>
        <v/>
      </c>
      <c r="Y412" s="449" t="str">
        <f t="shared" si="19"/>
        <v/>
      </c>
      <c r="Z412" s="449" t="str">
        <f t="shared" si="20"/>
        <v/>
      </c>
    </row>
    <row r="413" spans="24:26" x14ac:dyDescent="0.25">
      <c r="X413" s="449" t="str">
        <f t="shared" si="18"/>
        <v/>
      </c>
      <c r="Y413" s="449" t="str">
        <f t="shared" si="19"/>
        <v/>
      </c>
      <c r="Z413" s="449" t="str">
        <f t="shared" si="20"/>
        <v/>
      </c>
    </row>
    <row r="414" spans="24:26" x14ac:dyDescent="0.25">
      <c r="X414" s="449" t="str">
        <f t="shared" si="18"/>
        <v/>
      </c>
      <c r="Y414" s="449" t="str">
        <f t="shared" si="19"/>
        <v/>
      </c>
      <c r="Z414" s="449" t="str">
        <f t="shared" si="20"/>
        <v/>
      </c>
    </row>
    <row r="415" spans="24:26" x14ac:dyDescent="0.25">
      <c r="X415" s="449" t="str">
        <f t="shared" si="18"/>
        <v/>
      </c>
      <c r="Y415" s="449" t="str">
        <f t="shared" si="19"/>
        <v/>
      </c>
      <c r="Z415" s="449" t="str">
        <f t="shared" si="20"/>
        <v/>
      </c>
    </row>
    <row r="416" spans="24:26" x14ac:dyDescent="0.25">
      <c r="X416" s="449" t="str">
        <f t="shared" si="18"/>
        <v/>
      </c>
      <c r="Y416" s="449" t="str">
        <f t="shared" si="19"/>
        <v/>
      </c>
      <c r="Z416" s="449" t="str">
        <f t="shared" si="20"/>
        <v/>
      </c>
    </row>
    <row r="417" spans="24:26" x14ac:dyDescent="0.25">
      <c r="X417" s="449" t="str">
        <f t="shared" si="18"/>
        <v/>
      </c>
      <c r="Y417" s="449" t="str">
        <f t="shared" si="19"/>
        <v/>
      </c>
      <c r="Z417" s="449" t="str">
        <f t="shared" si="20"/>
        <v/>
      </c>
    </row>
    <row r="418" spans="24:26" x14ac:dyDescent="0.25">
      <c r="X418" s="449" t="str">
        <f t="shared" si="18"/>
        <v/>
      </c>
      <c r="Y418" s="449" t="str">
        <f t="shared" si="19"/>
        <v/>
      </c>
      <c r="Z418" s="449" t="str">
        <f t="shared" si="20"/>
        <v/>
      </c>
    </row>
    <row r="419" spans="24:26" x14ac:dyDescent="0.25">
      <c r="X419" s="449" t="str">
        <f t="shared" si="18"/>
        <v/>
      </c>
      <c r="Y419" s="449" t="str">
        <f t="shared" si="19"/>
        <v/>
      </c>
      <c r="Z419" s="449" t="str">
        <f t="shared" si="20"/>
        <v/>
      </c>
    </row>
    <row r="420" spans="24:26" x14ac:dyDescent="0.25">
      <c r="X420" s="449" t="str">
        <f t="shared" si="18"/>
        <v/>
      </c>
      <c r="Y420" s="449" t="str">
        <f t="shared" si="19"/>
        <v/>
      </c>
      <c r="Z420" s="449" t="str">
        <f t="shared" si="20"/>
        <v/>
      </c>
    </row>
    <row r="421" spans="24:26" x14ac:dyDescent="0.25">
      <c r="X421" s="449" t="str">
        <f t="shared" si="18"/>
        <v/>
      </c>
      <c r="Y421" s="449" t="str">
        <f t="shared" si="19"/>
        <v/>
      </c>
      <c r="Z421" s="449" t="str">
        <f t="shared" si="20"/>
        <v/>
      </c>
    </row>
    <row r="422" spans="24:26" x14ac:dyDescent="0.25">
      <c r="X422" s="449" t="str">
        <f t="shared" si="18"/>
        <v/>
      </c>
      <c r="Y422" s="449" t="str">
        <f t="shared" si="19"/>
        <v/>
      </c>
      <c r="Z422" s="449" t="str">
        <f t="shared" si="20"/>
        <v/>
      </c>
    </row>
    <row r="423" spans="24:26" x14ac:dyDescent="0.25">
      <c r="X423" s="449" t="str">
        <f t="shared" si="18"/>
        <v/>
      </c>
      <c r="Y423" s="449" t="str">
        <f t="shared" si="19"/>
        <v/>
      </c>
      <c r="Z423" s="449" t="str">
        <f t="shared" si="20"/>
        <v/>
      </c>
    </row>
    <row r="424" spans="24:26" x14ac:dyDescent="0.25">
      <c r="X424" s="449" t="str">
        <f t="shared" si="18"/>
        <v/>
      </c>
      <c r="Y424" s="449" t="str">
        <f t="shared" si="19"/>
        <v/>
      </c>
      <c r="Z424" s="449" t="str">
        <f t="shared" si="20"/>
        <v/>
      </c>
    </row>
    <row r="425" spans="24:26" x14ac:dyDescent="0.25">
      <c r="X425" s="449" t="str">
        <f t="shared" si="18"/>
        <v/>
      </c>
      <c r="Y425" s="449" t="str">
        <f t="shared" si="19"/>
        <v/>
      </c>
      <c r="Z425" s="449" t="str">
        <f t="shared" si="20"/>
        <v/>
      </c>
    </row>
    <row r="426" spans="24:26" x14ac:dyDescent="0.25">
      <c r="X426" s="449" t="str">
        <f t="shared" si="18"/>
        <v/>
      </c>
      <c r="Y426" s="449" t="str">
        <f t="shared" si="19"/>
        <v/>
      </c>
      <c r="Z426" s="449" t="str">
        <f t="shared" si="20"/>
        <v/>
      </c>
    </row>
    <row r="427" spans="24:26" x14ac:dyDescent="0.25">
      <c r="X427" s="449" t="str">
        <f t="shared" si="18"/>
        <v/>
      </c>
      <c r="Y427" s="449" t="str">
        <f t="shared" si="19"/>
        <v/>
      </c>
      <c r="Z427" s="449" t="str">
        <f t="shared" si="20"/>
        <v/>
      </c>
    </row>
    <row r="428" spans="24:26" x14ac:dyDescent="0.25">
      <c r="X428" s="449" t="str">
        <f t="shared" si="18"/>
        <v/>
      </c>
      <c r="Y428" s="449" t="str">
        <f t="shared" si="19"/>
        <v/>
      </c>
      <c r="Z428" s="449" t="str">
        <f t="shared" si="20"/>
        <v/>
      </c>
    </row>
    <row r="429" spans="24:26" x14ac:dyDescent="0.25">
      <c r="X429" s="449" t="str">
        <f t="shared" si="18"/>
        <v/>
      </c>
      <c r="Y429" s="449" t="str">
        <f t="shared" si="19"/>
        <v/>
      </c>
      <c r="Z429" s="449" t="str">
        <f t="shared" si="20"/>
        <v/>
      </c>
    </row>
    <row r="430" spans="24:26" x14ac:dyDescent="0.25">
      <c r="X430" s="449" t="str">
        <f t="shared" si="18"/>
        <v/>
      </c>
      <c r="Y430" s="449" t="str">
        <f t="shared" si="19"/>
        <v/>
      </c>
      <c r="Z430" s="449" t="str">
        <f t="shared" si="20"/>
        <v/>
      </c>
    </row>
    <row r="431" spans="24:26" x14ac:dyDescent="0.25">
      <c r="X431" s="449" t="str">
        <f t="shared" si="18"/>
        <v/>
      </c>
      <c r="Y431" s="449" t="str">
        <f t="shared" si="19"/>
        <v/>
      </c>
      <c r="Z431" s="449" t="str">
        <f t="shared" si="20"/>
        <v/>
      </c>
    </row>
    <row r="432" spans="24:26" x14ac:dyDescent="0.25">
      <c r="X432" s="449" t="str">
        <f t="shared" si="18"/>
        <v/>
      </c>
      <c r="Y432" s="449" t="str">
        <f t="shared" si="19"/>
        <v/>
      </c>
      <c r="Z432" s="449" t="str">
        <f t="shared" si="20"/>
        <v/>
      </c>
    </row>
    <row r="433" spans="24:26" x14ac:dyDescent="0.25">
      <c r="X433" s="449" t="str">
        <f t="shared" si="18"/>
        <v/>
      </c>
      <c r="Y433" s="449" t="str">
        <f t="shared" si="19"/>
        <v/>
      </c>
      <c r="Z433" s="449" t="str">
        <f t="shared" si="20"/>
        <v/>
      </c>
    </row>
    <row r="434" spans="24:26" x14ac:dyDescent="0.25">
      <c r="X434" s="449" t="str">
        <f t="shared" si="18"/>
        <v/>
      </c>
      <c r="Y434" s="449" t="str">
        <f t="shared" si="19"/>
        <v/>
      </c>
      <c r="Z434" s="449" t="str">
        <f t="shared" si="20"/>
        <v/>
      </c>
    </row>
    <row r="435" spans="24:26" x14ac:dyDescent="0.25">
      <c r="X435" s="449" t="str">
        <f t="shared" si="18"/>
        <v/>
      </c>
      <c r="Y435" s="449" t="str">
        <f t="shared" si="19"/>
        <v/>
      </c>
      <c r="Z435" s="449" t="str">
        <f t="shared" si="20"/>
        <v/>
      </c>
    </row>
    <row r="436" spans="24:26" x14ac:dyDescent="0.25">
      <c r="X436" s="449" t="str">
        <f t="shared" si="18"/>
        <v/>
      </c>
      <c r="Y436" s="449" t="str">
        <f t="shared" si="19"/>
        <v/>
      </c>
      <c r="Z436" s="449" t="str">
        <f t="shared" si="20"/>
        <v/>
      </c>
    </row>
    <row r="437" spans="24:26" x14ac:dyDescent="0.25">
      <c r="X437" s="449" t="str">
        <f t="shared" si="18"/>
        <v/>
      </c>
      <c r="Y437" s="449" t="str">
        <f t="shared" si="19"/>
        <v/>
      </c>
      <c r="Z437" s="449" t="str">
        <f t="shared" si="20"/>
        <v/>
      </c>
    </row>
    <row r="438" spans="24:26" x14ac:dyDescent="0.25">
      <c r="X438" s="449" t="str">
        <f t="shared" si="18"/>
        <v/>
      </c>
      <c r="Y438" s="449" t="str">
        <f t="shared" si="19"/>
        <v/>
      </c>
      <c r="Z438" s="449" t="str">
        <f t="shared" si="20"/>
        <v/>
      </c>
    </row>
    <row r="439" spans="24:26" x14ac:dyDescent="0.25">
      <c r="X439" s="449" t="str">
        <f t="shared" si="18"/>
        <v/>
      </c>
      <c r="Y439" s="449" t="str">
        <f t="shared" si="19"/>
        <v/>
      </c>
      <c r="Z439" s="449" t="str">
        <f t="shared" si="20"/>
        <v/>
      </c>
    </row>
    <row r="440" spans="24:26" x14ac:dyDescent="0.25">
      <c r="X440" s="449" t="str">
        <f t="shared" si="18"/>
        <v/>
      </c>
      <c r="Y440" s="449" t="str">
        <f t="shared" si="19"/>
        <v/>
      </c>
      <c r="Z440" s="449" t="str">
        <f t="shared" si="20"/>
        <v/>
      </c>
    </row>
    <row r="441" spans="24:26" x14ac:dyDescent="0.25">
      <c r="X441" s="449" t="str">
        <f t="shared" si="18"/>
        <v/>
      </c>
      <c r="Y441" s="449" t="str">
        <f t="shared" si="19"/>
        <v/>
      </c>
      <c r="Z441" s="449" t="str">
        <f t="shared" si="20"/>
        <v/>
      </c>
    </row>
    <row r="442" spans="24:26" x14ac:dyDescent="0.25">
      <c r="X442" s="449" t="str">
        <f t="shared" si="18"/>
        <v/>
      </c>
      <c r="Y442" s="449" t="str">
        <f t="shared" si="19"/>
        <v/>
      </c>
      <c r="Z442" s="449" t="str">
        <f t="shared" si="20"/>
        <v/>
      </c>
    </row>
    <row r="443" spans="24:26" x14ac:dyDescent="0.25">
      <c r="X443" s="449" t="str">
        <f t="shared" si="18"/>
        <v/>
      </c>
      <c r="Y443" s="449" t="str">
        <f t="shared" si="19"/>
        <v/>
      </c>
      <c r="Z443" s="449" t="str">
        <f t="shared" si="20"/>
        <v/>
      </c>
    </row>
    <row r="444" spans="24:26" x14ac:dyDescent="0.25">
      <c r="X444" s="449" t="str">
        <f t="shared" si="18"/>
        <v/>
      </c>
      <c r="Y444" s="449" t="str">
        <f t="shared" si="19"/>
        <v/>
      </c>
      <c r="Z444" s="449" t="str">
        <f t="shared" si="20"/>
        <v/>
      </c>
    </row>
    <row r="445" spans="24:26" x14ac:dyDescent="0.25">
      <c r="X445" s="449" t="str">
        <f t="shared" si="18"/>
        <v/>
      </c>
      <c r="Y445" s="449" t="str">
        <f t="shared" si="19"/>
        <v/>
      </c>
      <c r="Z445" s="449" t="str">
        <f t="shared" si="20"/>
        <v/>
      </c>
    </row>
    <row r="446" spans="24:26" x14ac:dyDescent="0.25">
      <c r="X446" s="449" t="str">
        <f t="shared" si="18"/>
        <v/>
      </c>
      <c r="Y446" s="449" t="str">
        <f t="shared" si="19"/>
        <v/>
      </c>
      <c r="Z446" s="449" t="str">
        <f t="shared" si="20"/>
        <v/>
      </c>
    </row>
    <row r="447" spans="24:26" x14ac:dyDescent="0.25">
      <c r="X447" s="449" t="str">
        <f t="shared" si="18"/>
        <v/>
      </c>
      <c r="Y447" s="449" t="str">
        <f t="shared" si="19"/>
        <v/>
      </c>
      <c r="Z447" s="449" t="str">
        <f t="shared" si="20"/>
        <v/>
      </c>
    </row>
    <row r="448" spans="24:26" x14ac:dyDescent="0.25">
      <c r="X448" s="449" t="str">
        <f t="shared" si="18"/>
        <v/>
      </c>
      <c r="Y448" s="449" t="str">
        <f t="shared" si="19"/>
        <v/>
      </c>
      <c r="Z448" s="449" t="str">
        <f t="shared" si="20"/>
        <v/>
      </c>
    </row>
    <row r="449" spans="24:26" x14ac:dyDescent="0.25">
      <c r="X449" s="449" t="str">
        <f t="shared" si="18"/>
        <v/>
      </c>
      <c r="Y449" s="449" t="str">
        <f t="shared" si="19"/>
        <v/>
      </c>
      <c r="Z449" s="449" t="str">
        <f t="shared" si="20"/>
        <v/>
      </c>
    </row>
    <row r="450" spans="24:26" x14ac:dyDescent="0.25">
      <c r="X450" s="449" t="str">
        <f t="shared" si="18"/>
        <v/>
      </c>
      <c r="Y450" s="449" t="str">
        <f t="shared" si="19"/>
        <v/>
      </c>
      <c r="Z450" s="449" t="str">
        <f t="shared" si="20"/>
        <v/>
      </c>
    </row>
    <row r="451" spans="24:26" x14ac:dyDescent="0.25">
      <c r="X451" s="449" t="str">
        <f t="shared" si="18"/>
        <v/>
      </c>
      <c r="Y451" s="449" t="str">
        <f t="shared" si="19"/>
        <v/>
      </c>
      <c r="Z451" s="449" t="str">
        <f t="shared" si="20"/>
        <v/>
      </c>
    </row>
    <row r="452" spans="24:26" x14ac:dyDescent="0.25">
      <c r="X452" s="449" t="str">
        <f t="shared" ref="X452:X500" si="21">IF(Z452="","",IF(OR(Z452="21",Z452="22",Z452="36",Z452="61",Z452="24"),Z452,LEFT(Z452,1)&amp;"0"))</f>
        <v/>
      </c>
      <c r="Y452" s="449" t="str">
        <f t="shared" ref="Y452:Y500" si="22">IF(AB452="","",IF(OR(LEFT(AB452,1)="3",LEFT(AB452,1)="4",LEFT(AB452,1)="5"),"300",IF(OR(LEFT(AB452,1)="9",LEFT(AB452,1)="0"),"900",LEFT(AB452,3))))</f>
        <v/>
      </c>
      <c r="Z452" s="449" t="str">
        <f t="shared" ref="Z452:Z500" si="23">LEFT(AA452,2)</f>
        <v/>
      </c>
    </row>
    <row r="453" spans="24:26" x14ac:dyDescent="0.25">
      <c r="X453" s="449" t="str">
        <f t="shared" si="21"/>
        <v/>
      </c>
      <c r="Y453" s="449" t="str">
        <f t="shared" si="22"/>
        <v/>
      </c>
      <c r="Z453" s="449" t="str">
        <f t="shared" si="23"/>
        <v/>
      </c>
    </row>
    <row r="454" spans="24:26" x14ac:dyDescent="0.25">
      <c r="X454" s="449" t="str">
        <f t="shared" si="21"/>
        <v/>
      </c>
      <c r="Y454" s="449" t="str">
        <f t="shared" si="22"/>
        <v/>
      </c>
      <c r="Z454" s="449" t="str">
        <f t="shared" si="23"/>
        <v/>
      </c>
    </row>
    <row r="455" spans="24:26" x14ac:dyDescent="0.25">
      <c r="X455" s="449" t="str">
        <f t="shared" si="21"/>
        <v/>
      </c>
      <c r="Y455" s="449" t="str">
        <f t="shared" si="22"/>
        <v/>
      </c>
      <c r="Z455" s="449" t="str">
        <f t="shared" si="23"/>
        <v/>
      </c>
    </row>
    <row r="456" spans="24:26" x14ac:dyDescent="0.25">
      <c r="X456" s="449" t="str">
        <f t="shared" si="21"/>
        <v/>
      </c>
      <c r="Y456" s="449" t="str">
        <f t="shared" si="22"/>
        <v/>
      </c>
      <c r="Z456" s="449" t="str">
        <f t="shared" si="23"/>
        <v/>
      </c>
    </row>
    <row r="457" spans="24:26" x14ac:dyDescent="0.25">
      <c r="X457" s="449" t="str">
        <f t="shared" si="21"/>
        <v/>
      </c>
      <c r="Y457" s="449" t="str">
        <f t="shared" si="22"/>
        <v/>
      </c>
      <c r="Z457" s="449" t="str">
        <f t="shared" si="23"/>
        <v/>
      </c>
    </row>
    <row r="458" spans="24:26" x14ac:dyDescent="0.25">
      <c r="X458" s="449" t="str">
        <f t="shared" si="21"/>
        <v/>
      </c>
      <c r="Y458" s="449" t="str">
        <f t="shared" si="22"/>
        <v/>
      </c>
      <c r="Z458" s="449" t="str">
        <f t="shared" si="23"/>
        <v/>
      </c>
    </row>
    <row r="459" spans="24:26" x14ac:dyDescent="0.25">
      <c r="X459" s="449" t="str">
        <f t="shared" si="21"/>
        <v/>
      </c>
      <c r="Y459" s="449" t="str">
        <f t="shared" si="22"/>
        <v/>
      </c>
      <c r="Z459" s="449" t="str">
        <f t="shared" si="23"/>
        <v/>
      </c>
    </row>
    <row r="460" spans="24:26" x14ac:dyDescent="0.25">
      <c r="X460" s="449" t="str">
        <f t="shared" si="21"/>
        <v/>
      </c>
      <c r="Y460" s="449" t="str">
        <f t="shared" si="22"/>
        <v/>
      </c>
      <c r="Z460" s="449" t="str">
        <f t="shared" si="23"/>
        <v/>
      </c>
    </row>
    <row r="461" spans="24:26" x14ac:dyDescent="0.25">
      <c r="X461" s="449" t="str">
        <f t="shared" si="21"/>
        <v/>
      </c>
      <c r="Y461" s="449" t="str">
        <f t="shared" si="22"/>
        <v/>
      </c>
      <c r="Z461" s="449" t="str">
        <f t="shared" si="23"/>
        <v/>
      </c>
    </row>
    <row r="462" spans="24:26" x14ac:dyDescent="0.25">
      <c r="X462" s="449" t="str">
        <f t="shared" si="21"/>
        <v/>
      </c>
      <c r="Y462" s="449" t="str">
        <f t="shared" si="22"/>
        <v/>
      </c>
      <c r="Z462" s="449" t="str">
        <f t="shared" si="23"/>
        <v/>
      </c>
    </row>
    <row r="463" spans="24:26" x14ac:dyDescent="0.25">
      <c r="X463" s="449" t="str">
        <f t="shared" si="21"/>
        <v/>
      </c>
      <c r="Y463" s="449" t="str">
        <f t="shared" si="22"/>
        <v/>
      </c>
      <c r="Z463" s="449" t="str">
        <f t="shared" si="23"/>
        <v/>
      </c>
    </row>
    <row r="464" spans="24:26" x14ac:dyDescent="0.25">
      <c r="X464" s="449" t="str">
        <f t="shared" si="21"/>
        <v/>
      </c>
      <c r="Y464" s="449" t="str">
        <f t="shared" si="22"/>
        <v/>
      </c>
      <c r="Z464" s="449" t="str">
        <f t="shared" si="23"/>
        <v/>
      </c>
    </row>
    <row r="465" spans="24:26" x14ac:dyDescent="0.25">
      <c r="X465" s="449" t="str">
        <f t="shared" si="21"/>
        <v/>
      </c>
      <c r="Y465" s="449" t="str">
        <f t="shared" si="22"/>
        <v/>
      </c>
      <c r="Z465" s="449" t="str">
        <f t="shared" si="23"/>
        <v/>
      </c>
    </row>
    <row r="466" spans="24:26" x14ac:dyDescent="0.25">
      <c r="X466" s="449" t="str">
        <f t="shared" si="21"/>
        <v/>
      </c>
      <c r="Y466" s="449" t="str">
        <f t="shared" si="22"/>
        <v/>
      </c>
      <c r="Z466" s="449" t="str">
        <f t="shared" si="23"/>
        <v/>
      </c>
    </row>
    <row r="467" spans="24:26" x14ac:dyDescent="0.25">
      <c r="X467" s="449" t="str">
        <f t="shared" si="21"/>
        <v/>
      </c>
      <c r="Y467" s="449" t="str">
        <f t="shared" si="22"/>
        <v/>
      </c>
      <c r="Z467" s="449" t="str">
        <f t="shared" si="23"/>
        <v/>
      </c>
    </row>
    <row r="468" spans="24:26" x14ac:dyDescent="0.25">
      <c r="X468" s="449" t="str">
        <f t="shared" si="21"/>
        <v/>
      </c>
      <c r="Y468" s="449" t="str">
        <f t="shared" si="22"/>
        <v/>
      </c>
      <c r="Z468" s="449" t="str">
        <f t="shared" si="23"/>
        <v/>
      </c>
    </row>
    <row r="469" spans="24:26" x14ac:dyDescent="0.25">
      <c r="X469" s="449" t="str">
        <f t="shared" si="21"/>
        <v/>
      </c>
      <c r="Y469" s="449" t="str">
        <f t="shared" si="22"/>
        <v/>
      </c>
      <c r="Z469" s="449" t="str">
        <f t="shared" si="23"/>
        <v/>
      </c>
    </row>
    <row r="470" spans="24:26" x14ac:dyDescent="0.25">
      <c r="X470" s="449" t="str">
        <f t="shared" si="21"/>
        <v/>
      </c>
      <c r="Y470" s="449" t="str">
        <f t="shared" si="22"/>
        <v/>
      </c>
      <c r="Z470" s="449" t="str">
        <f t="shared" si="23"/>
        <v/>
      </c>
    </row>
    <row r="471" spans="24:26" x14ac:dyDescent="0.25">
      <c r="X471" s="449" t="str">
        <f t="shared" si="21"/>
        <v/>
      </c>
      <c r="Y471" s="449" t="str">
        <f t="shared" si="22"/>
        <v/>
      </c>
      <c r="Z471" s="449" t="str">
        <f t="shared" si="23"/>
        <v/>
      </c>
    </row>
    <row r="472" spans="24:26" x14ac:dyDescent="0.25">
      <c r="X472" s="449" t="str">
        <f t="shared" si="21"/>
        <v/>
      </c>
      <c r="Y472" s="449" t="str">
        <f t="shared" si="22"/>
        <v/>
      </c>
      <c r="Z472" s="449" t="str">
        <f t="shared" si="23"/>
        <v/>
      </c>
    </row>
    <row r="473" spans="24:26" x14ac:dyDescent="0.25">
      <c r="X473" s="449" t="str">
        <f t="shared" si="21"/>
        <v/>
      </c>
      <c r="Y473" s="449" t="str">
        <f t="shared" si="22"/>
        <v/>
      </c>
      <c r="Z473" s="449" t="str">
        <f t="shared" si="23"/>
        <v/>
      </c>
    </row>
    <row r="474" spans="24:26" x14ac:dyDescent="0.25">
      <c r="X474" s="449" t="str">
        <f t="shared" si="21"/>
        <v/>
      </c>
      <c r="Y474" s="449" t="str">
        <f t="shared" si="22"/>
        <v/>
      </c>
      <c r="Z474" s="449" t="str">
        <f t="shared" si="23"/>
        <v/>
      </c>
    </row>
    <row r="475" spans="24:26" x14ac:dyDescent="0.25">
      <c r="X475" s="449" t="str">
        <f t="shared" si="21"/>
        <v/>
      </c>
      <c r="Y475" s="449" t="str">
        <f t="shared" si="22"/>
        <v/>
      </c>
      <c r="Z475" s="449" t="str">
        <f t="shared" si="23"/>
        <v/>
      </c>
    </row>
    <row r="476" spans="24:26" x14ac:dyDescent="0.25">
      <c r="X476" s="449" t="str">
        <f t="shared" si="21"/>
        <v/>
      </c>
      <c r="Y476" s="449" t="str">
        <f t="shared" si="22"/>
        <v/>
      </c>
      <c r="Z476" s="449" t="str">
        <f t="shared" si="23"/>
        <v/>
      </c>
    </row>
    <row r="477" spans="24:26" x14ac:dyDescent="0.25">
      <c r="X477" s="449" t="str">
        <f t="shared" si="21"/>
        <v/>
      </c>
      <c r="Y477" s="449" t="str">
        <f t="shared" si="22"/>
        <v/>
      </c>
      <c r="Z477" s="449" t="str">
        <f t="shared" si="23"/>
        <v/>
      </c>
    </row>
    <row r="478" spans="24:26" x14ac:dyDescent="0.25">
      <c r="X478" s="449" t="str">
        <f t="shared" si="21"/>
        <v/>
      </c>
      <c r="Y478" s="449" t="str">
        <f t="shared" si="22"/>
        <v/>
      </c>
      <c r="Z478" s="449" t="str">
        <f t="shared" si="23"/>
        <v/>
      </c>
    </row>
    <row r="479" spans="24:26" x14ac:dyDescent="0.25">
      <c r="X479" s="449" t="str">
        <f t="shared" si="21"/>
        <v/>
      </c>
      <c r="Y479" s="449" t="str">
        <f t="shared" si="22"/>
        <v/>
      </c>
      <c r="Z479" s="449" t="str">
        <f t="shared" si="23"/>
        <v/>
      </c>
    </row>
    <row r="480" spans="24:26" x14ac:dyDescent="0.25">
      <c r="X480" s="449" t="str">
        <f t="shared" si="21"/>
        <v/>
      </c>
      <c r="Y480" s="449" t="str">
        <f t="shared" si="22"/>
        <v/>
      </c>
      <c r="Z480" s="449" t="str">
        <f t="shared" si="23"/>
        <v/>
      </c>
    </row>
    <row r="481" spans="24:26" x14ac:dyDescent="0.25">
      <c r="X481" s="449" t="str">
        <f t="shared" si="21"/>
        <v/>
      </c>
      <c r="Y481" s="449" t="str">
        <f t="shared" si="22"/>
        <v/>
      </c>
      <c r="Z481" s="449" t="str">
        <f t="shared" si="23"/>
        <v/>
      </c>
    </row>
    <row r="482" spans="24:26" x14ac:dyDescent="0.25">
      <c r="X482" s="449" t="str">
        <f t="shared" si="21"/>
        <v/>
      </c>
      <c r="Y482" s="449" t="str">
        <f t="shared" si="22"/>
        <v/>
      </c>
      <c r="Z482" s="449" t="str">
        <f t="shared" si="23"/>
        <v/>
      </c>
    </row>
    <row r="483" spans="24:26" x14ac:dyDescent="0.25">
      <c r="X483" s="449" t="str">
        <f t="shared" si="21"/>
        <v/>
      </c>
      <c r="Y483" s="449" t="str">
        <f t="shared" si="22"/>
        <v/>
      </c>
      <c r="Z483" s="449" t="str">
        <f t="shared" si="23"/>
        <v/>
      </c>
    </row>
    <row r="484" spans="24:26" x14ac:dyDescent="0.25">
      <c r="X484" s="449" t="str">
        <f t="shared" si="21"/>
        <v/>
      </c>
      <c r="Y484" s="449" t="str">
        <f t="shared" si="22"/>
        <v/>
      </c>
      <c r="Z484" s="449" t="str">
        <f t="shared" si="23"/>
        <v/>
      </c>
    </row>
    <row r="485" spans="24:26" x14ac:dyDescent="0.25">
      <c r="X485" s="449" t="str">
        <f t="shared" si="21"/>
        <v/>
      </c>
      <c r="Y485" s="449" t="str">
        <f t="shared" si="22"/>
        <v/>
      </c>
      <c r="Z485" s="449" t="str">
        <f t="shared" si="23"/>
        <v/>
      </c>
    </row>
    <row r="486" spans="24:26" x14ac:dyDescent="0.25">
      <c r="X486" s="449" t="str">
        <f t="shared" si="21"/>
        <v/>
      </c>
      <c r="Y486" s="449" t="str">
        <f t="shared" si="22"/>
        <v/>
      </c>
      <c r="Z486" s="449" t="str">
        <f t="shared" si="23"/>
        <v/>
      </c>
    </row>
    <row r="487" spans="24:26" x14ac:dyDescent="0.25">
      <c r="X487" s="449" t="str">
        <f t="shared" si="21"/>
        <v/>
      </c>
      <c r="Y487" s="449" t="str">
        <f t="shared" si="22"/>
        <v/>
      </c>
      <c r="Z487" s="449" t="str">
        <f t="shared" si="23"/>
        <v/>
      </c>
    </row>
    <row r="488" spans="24:26" x14ac:dyDescent="0.25">
      <c r="X488" s="449" t="str">
        <f t="shared" si="21"/>
        <v/>
      </c>
      <c r="Y488" s="449" t="str">
        <f t="shared" si="22"/>
        <v/>
      </c>
      <c r="Z488" s="449" t="str">
        <f t="shared" si="23"/>
        <v/>
      </c>
    </row>
    <row r="489" spans="24:26" x14ac:dyDescent="0.25">
      <c r="X489" s="449" t="str">
        <f t="shared" si="21"/>
        <v/>
      </c>
      <c r="Y489" s="449" t="str">
        <f t="shared" si="22"/>
        <v/>
      </c>
      <c r="Z489" s="449" t="str">
        <f t="shared" si="23"/>
        <v/>
      </c>
    </row>
    <row r="490" spans="24:26" x14ac:dyDescent="0.25">
      <c r="X490" s="449" t="str">
        <f t="shared" si="21"/>
        <v/>
      </c>
      <c r="Y490" s="449" t="str">
        <f t="shared" si="22"/>
        <v/>
      </c>
      <c r="Z490" s="449" t="str">
        <f t="shared" si="23"/>
        <v/>
      </c>
    </row>
    <row r="491" spans="24:26" x14ac:dyDescent="0.25">
      <c r="X491" s="449" t="str">
        <f t="shared" si="21"/>
        <v/>
      </c>
      <c r="Y491" s="449" t="str">
        <f t="shared" si="22"/>
        <v/>
      </c>
      <c r="Z491" s="449" t="str">
        <f t="shared" si="23"/>
        <v/>
      </c>
    </row>
    <row r="492" spans="24:26" x14ac:dyDescent="0.25">
      <c r="X492" s="449" t="str">
        <f t="shared" si="21"/>
        <v/>
      </c>
      <c r="Y492" s="449" t="str">
        <f t="shared" si="22"/>
        <v/>
      </c>
      <c r="Z492" s="449" t="str">
        <f t="shared" si="23"/>
        <v/>
      </c>
    </row>
    <row r="493" spans="24:26" x14ac:dyDescent="0.25">
      <c r="X493" s="449" t="str">
        <f t="shared" si="21"/>
        <v/>
      </c>
      <c r="Y493" s="449" t="str">
        <f t="shared" si="22"/>
        <v/>
      </c>
      <c r="Z493" s="449" t="str">
        <f t="shared" si="23"/>
        <v/>
      </c>
    </row>
    <row r="494" spans="24:26" x14ac:dyDescent="0.25">
      <c r="X494" s="449" t="str">
        <f t="shared" si="21"/>
        <v/>
      </c>
      <c r="Y494" s="449" t="str">
        <f t="shared" si="22"/>
        <v/>
      </c>
      <c r="Z494" s="449" t="str">
        <f t="shared" si="23"/>
        <v/>
      </c>
    </row>
    <row r="495" spans="24:26" x14ac:dyDescent="0.25">
      <c r="X495" s="449" t="str">
        <f t="shared" si="21"/>
        <v/>
      </c>
      <c r="Y495" s="449" t="str">
        <f t="shared" si="22"/>
        <v/>
      </c>
      <c r="Z495" s="449" t="str">
        <f t="shared" si="23"/>
        <v/>
      </c>
    </row>
    <row r="496" spans="24:26" x14ac:dyDescent="0.25">
      <c r="X496" s="449" t="str">
        <f t="shared" si="21"/>
        <v/>
      </c>
      <c r="Y496" s="449" t="str">
        <f t="shared" si="22"/>
        <v/>
      </c>
      <c r="Z496" s="449" t="str">
        <f t="shared" si="23"/>
        <v/>
      </c>
    </row>
    <row r="497" spans="24:26" x14ac:dyDescent="0.25">
      <c r="X497" s="449" t="str">
        <f t="shared" si="21"/>
        <v/>
      </c>
      <c r="Y497" s="449" t="str">
        <f t="shared" si="22"/>
        <v/>
      </c>
      <c r="Z497" s="449" t="str">
        <f t="shared" si="23"/>
        <v/>
      </c>
    </row>
    <row r="498" spans="24:26" x14ac:dyDescent="0.25">
      <c r="X498" s="449" t="str">
        <f t="shared" si="21"/>
        <v/>
      </c>
      <c r="Y498" s="449" t="str">
        <f t="shared" si="22"/>
        <v/>
      </c>
      <c r="Z498" s="449" t="str">
        <f t="shared" si="23"/>
        <v/>
      </c>
    </row>
    <row r="499" spans="24:26" x14ac:dyDescent="0.25">
      <c r="X499" s="449" t="str">
        <f t="shared" si="21"/>
        <v/>
      </c>
      <c r="Y499" s="449" t="str">
        <f t="shared" si="22"/>
        <v/>
      </c>
      <c r="Z499" s="449" t="str">
        <f t="shared" si="23"/>
        <v/>
      </c>
    </row>
    <row r="500" spans="24:26" x14ac:dyDescent="0.25">
      <c r="X500" s="449" t="str">
        <f t="shared" si="21"/>
        <v/>
      </c>
      <c r="Y500" s="449" t="str">
        <f t="shared" si="22"/>
        <v/>
      </c>
      <c r="Z500" s="449" t="str">
        <f t="shared" si="23"/>
        <v/>
      </c>
    </row>
    <row r="501" spans="24:26" x14ac:dyDescent="0.25">
      <c r="X501" s="4"/>
      <c r="Y501" s="4"/>
      <c r="Z50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2:AL50"/>
  <sheetViews>
    <sheetView workbookViewId="0"/>
  </sheetViews>
  <sheetFormatPr defaultRowHeight="15" x14ac:dyDescent="0.25"/>
  <sheetData>
    <row r="2" spans="25:38" x14ac:dyDescent="0.25">
      <c r="Y2" t="s">
        <v>1840</v>
      </c>
      <c r="Z2" t="s">
        <v>1832</v>
      </c>
      <c r="AA2" s="24" t="s">
        <v>1832</v>
      </c>
      <c r="AB2" t="s">
        <v>1833</v>
      </c>
      <c r="AC2" t="s">
        <v>1834</v>
      </c>
      <c r="AD2" t="s">
        <v>536</v>
      </c>
      <c r="AE2" t="s">
        <v>537</v>
      </c>
      <c r="AF2" t="s">
        <v>538</v>
      </c>
      <c r="AG2" t="s">
        <v>539</v>
      </c>
      <c r="AH2" t="s">
        <v>540</v>
      </c>
      <c r="AI2" t="s">
        <v>541</v>
      </c>
      <c r="AJ2" t="s">
        <v>542</v>
      </c>
      <c r="AK2" t="s">
        <v>1835</v>
      </c>
      <c r="AL2" t="s">
        <v>1836</v>
      </c>
    </row>
    <row r="3" spans="25:38" x14ac:dyDescent="0.25">
      <c r="Y3" s="449" t="str">
        <f>IF(Z3="","",IF(OR(Z3="21",Z3="22",Z3="36",Z3="61",Z3="24"),Z3,LEFT(Z3,1)&amp;"0"))</f>
        <v>10</v>
      </c>
      <c r="Z3" s="449" t="str">
        <f>LEFT(AA3,2)</f>
        <v>10</v>
      </c>
      <c r="AA3" t="s">
        <v>1857</v>
      </c>
      <c r="AB3">
        <v>2193377.06</v>
      </c>
      <c r="AC3">
        <v>1468591.07</v>
      </c>
      <c r="AD3">
        <v>1059839.1399999999</v>
      </c>
      <c r="AE3">
        <v>561816.63</v>
      </c>
      <c r="AF3">
        <v>510540.25</v>
      </c>
      <c r="AG3">
        <v>1028091.83</v>
      </c>
      <c r="AH3">
        <v>1515552.33</v>
      </c>
      <c r="AI3">
        <v>1929490.68</v>
      </c>
      <c r="AJ3">
        <v>2281188.5299999998</v>
      </c>
      <c r="AK3">
        <v>2569840.44</v>
      </c>
      <c r="AL3">
        <v>2852768.63</v>
      </c>
    </row>
    <row r="4" spans="25:38" x14ac:dyDescent="0.25">
      <c r="Y4" s="449" t="str">
        <f t="shared" ref="Y4:Y50" si="0">IF(Z4="","",IF(OR(Z4="21",Z4="22",Z4="36",Z4="61",Z4="24"),Z4,LEFT(Z4,1)&amp;"0"))</f>
        <v>21</v>
      </c>
      <c r="Z4" s="449" t="str">
        <f t="shared" ref="Z4:Z50" si="1">LEFT(AA4,2)</f>
        <v>21</v>
      </c>
      <c r="AA4" t="s">
        <v>1858</v>
      </c>
      <c r="AB4">
        <v>46918.51</v>
      </c>
      <c r="AC4">
        <v>56861.32</v>
      </c>
      <c r="AD4">
        <v>102468.62</v>
      </c>
      <c r="AE4">
        <v>85026.2</v>
      </c>
      <c r="AF4">
        <v>108866.64</v>
      </c>
      <c r="AG4">
        <v>108866.35</v>
      </c>
      <c r="AH4">
        <v>108866.06</v>
      </c>
      <c r="AI4">
        <v>108865.76</v>
      </c>
      <c r="AJ4">
        <v>108865.45</v>
      </c>
      <c r="AK4">
        <v>108865.15</v>
      </c>
      <c r="AL4">
        <v>108864.83</v>
      </c>
    </row>
    <row r="5" spans="25:38" x14ac:dyDescent="0.25">
      <c r="Y5" s="449" t="str">
        <f t="shared" si="0"/>
        <v>22</v>
      </c>
      <c r="Z5" s="449" t="str">
        <f t="shared" si="1"/>
        <v>22</v>
      </c>
      <c r="AA5" t="s">
        <v>1859</v>
      </c>
      <c r="AB5">
        <v>152823.25</v>
      </c>
      <c r="AC5">
        <v>448542.2</v>
      </c>
      <c r="AD5">
        <v>509900</v>
      </c>
      <c r="AE5">
        <v>574027.96</v>
      </c>
      <c r="AF5">
        <v>518767.07</v>
      </c>
      <c r="AG5">
        <v>492642.09</v>
      </c>
      <c r="AH5">
        <v>540011.31999999995</v>
      </c>
      <c r="AI5">
        <v>585452.25</v>
      </c>
      <c r="AJ5">
        <v>628935.97</v>
      </c>
      <c r="AK5">
        <v>670433.11</v>
      </c>
      <c r="AL5">
        <v>709913.88</v>
      </c>
    </row>
    <row r="6" spans="25:38" x14ac:dyDescent="0.25">
      <c r="Y6" s="449" t="str">
        <f t="shared" si="0"/>
        <v>20</v>
      </c>
      <c r="Z6" s="449" t="str">
        <f t="shared" si="1"/>
        <v>27</v>
      </c>
      <c r="AA6" t="s">
        <v>1860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25:38" x14ac:dyDescent="0.25">
      <c r="Y7" s="449" t="str">
        <f t="shared" si="0"/>
        <v>30</v>
      </c>
      <c r="Z7" s="449" t="str">
        <f t="shared" si="1"/>
        <v>31</v>
      </c>
      <c r="AA7" t="s">
        <v>1861</v>
      </c>
      <c r="AB7">
        <v>0</v>
      </c>
      <c r="AC7">
        <v>0</v>
      </c>
      <c r="AD7">
        <v>0</v>
      </c>
      <c r="AE7">
        <v>0</v>
      </c>
      <c r="AF7">
        <v>0</v>
      </c>
      <c r="AG7">
        <v>9995099.5</v>
      </c>
      <c r="AH7">
        <v>20140125.489999998</v>
      </c>
      <c r="AI7">
        <v>30437326.870000001</v>
      </c>
      <c r="AJ7">
        <v>40888986.280000001</v>
      </c>
      <c r="AK7">
        <v>51497420.57</v>
      </c>
      <c r="AL7">
        <v>62264981.380000003</v>
      </c>
    </row>
    <row r="8" spans="25:38" x14ac:dyDescent="0.25">
      <c r="Y8" s="449" t="str">
        <f t="shared" si="0"/>
        <v>30</v>
      </c>
      <c r="Z8" s="449" t="str">
        <f t="shared" si="1"/>
        <v>33</v>
      </c>
      <c r="AA8" t="s">
        <v>1862</v>
      </c>
      <c r="AB8">
        <v>1568121.02</v>
      </c>
      <c r="AC8">
        <v>308520.03999999998</v>
      </c>
      <c r="AD8">
        <v>119257.41</v>
      </c>
      <c r="AE8">
        <v>242162.08</v>
      </c>
      <c r="AF8">
        <v>296557.46000000002</v>
      </c>
      <c r="AG8">
        <v>308748.57</v>
      </c>
      <c r="AH8">
        <v>321122.55</v>
      </c>
      <c r="AI8">
        <v>333682.13</v>
      </c>
      <c r="AJ8">
        <v>346430.11</v>
      </c>
      <c r="AK8">
        <v>359369.31</v>
      </c>
      <c r="AL8">
        <v>372502.6</v>
      </c>
    </row>
    <row r="9" spans="25:38" x14ac:dyDescent="0.25">
      <c r="Y9" s="449" t="str">
        <f t="shared" si="0"/>
        <v>30</v>
      </c>
      <c r="Z9" s="449" t="str">
        <f t="shared" si="1"/>
        <v>34</v>
      </c>
      <c r="AA9" t="s">
        <v>1863</v>
      </c>
      <c r="AB9">
        <v>0</v>
      </c>
      <c r="AC9">
        <v>0</v>
      </c>
      <c r="AD9">
        <v>0</v>
      </c>
      <c r="AE9">
        <v>8989.7800000000007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25:38" x14ac:dyDescent="0.25">
      <c r="Y10" s="449" t="str">
        <f t="shared" si="0"/>
        <v>36</v>
      </c>
      <c r="Z10" s="449" t="str">
        <f t="shared" si="1"/>
        <v>36</v>
      </c>
      <c r="AA10" t="s">
        <v>1864</v>
      </c>
      <c r="AB10">
        <v>195572.45</v>
      </c>
      <c r="AC10">
        <v>271326.39</v>
      </c>
      <c r="AD10">
        <v>302242.42</v>
      </c>
      <c r="AE10">
        <v>128184.85</v>
      </c>
      <c r="AF10">
        <v>146353.07</v>
      </c>
      <c r="AG10">
        <v>163135.15</v>
      </c>
      <c r="AH10">
        <v>181512.14</v>
      </c>
      <c r="AI10">
        <v>201548.66</v>
      </c>
      <c r="AJ10">
        <v>223311.09</v>
      </c>
      <c r="AK10">
        <v>246869.54</v>
      </c>
      <c r="AL10">
        <v>272292.88</v>
      </c>
    </row>
    <row r="11" spans="25:38" x14ac:dyDescent="0.25">
      <c r="Y11" s="449" t="str">
        <f t="shared" si="0"/>
        <v>40</v>
      </c>
      <c r="Z11" s="449" t="str">
        <f t="shared" si="1"/>
        <v>40</v>
      </c>
      <c r="AA11" t="s">
        <v>1865</v>
      </c>
      <c r="AB11">
        <v>410397.5</v>
      </c>
      <c r="AC11">
        <v>410397.5</v>
      </c>
      <c r="AD11">
        <v>413489.39</v>
      </c>
      <c r="AE11">
        <v>417929.57</v>
      </c>
      <c r="AF11">
        <v>417434.94</v>
      </c>
      <c r="AG11">
        <v>418798.36</v>
      </c>
      <c r="AH11">
        <v>397746.23</v>
      </c>
      <c r="AI11">
        <v>376247.86</v>
      </c>
      <c r="AJ11">
        <v>354696.56</v>
      </c>
      <c r="AK11">
        <v>332558.64</v>
      </c>
      <c r="AL11">
        <v>310190.43</v>
      </c>
    </row>
    <row r="12" spans="25:38" x14ac:dyDescent="0.25">
      <c r="Y12" s="449" t="str">
        <f t="shared" si="0"/>
        <v>61</v>
      </c>
      <c r="Z12" s="449" t="str">
        <f t="shared" si="1"/>
        <v>61</v>
      </c>
      <c r="AA12" t="s">
        <v>1866</v>
      </c>
      <c r="AB12">
        <v>48913.38</v>
      </c>
      <c r="AC12">
        <v>39990.019999999997</v>
      </c>
      <c r="AD12">
        <v>-38444.83</v>
      </c>
      <c r="AE12">
        <v>-22988.66</v>
      </c>
      <c r="AF12">
        <v>-23378.57</v>
      </c>
      <c r="AG12">
        <v>-44508.08</v>
      </c>
      <c r="AH12">
        <v>-65954.53</v>
      </c>
      <c r="AI12">
        <v>-87722.68</v>
      </c>
      <c r="AJ12">
        <v>-109817.35</v>
      </c>
      <c r="AK12">
        <v>-132243.45000000001</v>
      </c>
      <c r="AL12">
        <v>-155005.93</v>
      </c>
    </row>
    <row r="13" spans="25:38" x14ac:dyDescent="0.25">
      <c r="Y13" s="449" t="str">
        <f t="shared" si="0"/>
        <v>70</v>
      </c>
      <c r="Z13" s="449" t="str">
        <f t="shared" si="1"/>
        <v>71</v>
      </c>
      <c r="AA13" t="s">
        <v>1867</v>
      </c>
      <c r="AB13">
        <v>0</v>
      </c>
      <c r="AC13">
        <v>0</v>
      </c>
      <c r="AD13">
        <v>0</v>
      </c>
      <c r="AE13">
        <v>2716.58</v>
      </c>
      <c r="AF13">
        <v>17638.89</v>
      </c>
      <c r="AG13">
        <v>32208.27</v>
      </c>
      <c r="AH13">
        <v>46996.19</v>
      </c>
      <c r="AI13">
        <v>62005.93</v>
      </c>
      <c r="AJ13">
        <v>77240.820000000007</v>
      </c>
      <c r="AK13">
        <v>92704.22</v>
      </c>
      <c r="AL13">
        <v>108399.58</v>
      </c>
    </row>
    <row r="14" spans="25:38" x14ac:dyDescent="0.25">
      <c r="Y14" s="449" t="str">
        <f t="shared" si="0"/>
        <v>80</v>
      </c>
      <c r="Z14" s="449" t="str">
        <f t="shared" si="1"/>
        <v>81</v>
      </c>
      <c r="AA14" t="s">
        <v>1868</v>
      </c>
      <c r="AB14">
        <v>0</v>
      </c>
      <c r="AC14">
        <v>0</v>
      </c>
      <c r="AD14">
        <v>0</v>
      </c>
      <c r="AE14">
        <v>194946.2</v>
      </c>
      <c r="AF14">
        <v>190646.7</v>
      </c>
      <c r="AG14">
        <v>186347.2</v>
      </c>
      <c r="AH14">
        <v>181983.21</v>
      </c>
      <c r="AI14">
        <v>177553.76</v>
      </c>
      <c r="AJ14">
        <v>173057.86</v>
      </c>
      <c r="AK14">
        <v>168494.53</v>
      </c>
      <c r="AL14">
        <v>163862.75</v>
      </c>
    </row>
    <row r="15" spans="25:38" x14ac:dyDescent="0.25">
      <c r="Y15" s="449" t="str">
        <f t="shared" si="0"/>
        <v/>
      </c>
      <c r="Z15" s="449" t="str">
        <f t="shared" si="1"/>
        <v/>
      </c>
    </row>
    <row r="16" spans="25:38" x14ac:dyDescent="0.25">
      <c r="Y16" s="449" t="str">
        <f t="shared" si="0"/>
        <v/>
      </c>
      <c r="Z16" s="449" t="str">
        <f t="shared" si="1"/>
        <v/>
      </c>
    </row>
    <row r="17" spans="25:26" x14ac:dyDescent="0.25">
      <c r="Y17" s="449" t="str">
        <f t="shared" si="0"/>
        <v/>
      </c>
      <c r="Z17" s="449" t="str">
        <f t="shared" si="1"/>
        <v/>
      </c>
    </row>
    <row r="18" spans="25:26" x14ac:dyDescent="0.25">
      <c r="Y18" s="449" t="str">
        <f t="shared" si="0"/>
        <v/>
      </c>
      <c r="Z18" s="449" t="str">
        <f t="shared" si="1"/>
        <v/>
      </c>
    </row>
    <row r="19" spans="25:26" x14ac:dyDescent="0.25">
      <c r="Y19" s="449" t="str">
        <f t="shared" si="0"/>
        <v/>
      </c>
      <c r="Z19" s="449" t="str">
        <f t="shared" si="1"/>
        <v/>
      </c>
    </row>
    <row r="20" spans="25:26" x14ac:dyDescent="0.25">
      <c r="Y20" s="449" t="str">
        <f t="shared" si="0"/>
        <v/>
      </c>
      <c r="Z20" s="449" t="str">
        <f t="shared" si="1"/>
        <v/>
      </c>
    </row>
    <row r="21" spans="25:26" x14ac:dyDescent="0.25">
      <c r="Y21" s="449" t="str">
        <f t="shared" si="0"/>
        <v/>
      </c>
      <c r="Z21" s="449" t="str">
        <f t="shared" si="1"/>
        <v/>
      </c>
    </row>
    <row r="22" spans="25:26" x14ac:dyDescent="0.25">
      <c r="Y22" s="449" t="str">
        <f t="shared" si="0"/>
        <v/>
      </c>
      <c r="Z22" s="449" t="str">
        <f t="shared" si="1"/>
        <v/>
      </c>
    </row>
    <row r="23" spans="25:26" x14ac:dyDescent="0.25">
      <c r="Y23" s="449" t="str">
        <f t="shared" si="0"/>
        <v/>
      </c>
      <c r="Z23" s="449" t="str">
        <f t="shared" si="1"/>
        <v/>
      </c>
    </row>
    <row r="24" spans="25:26" x14ac:dyDescent="0.25">
      <c r="Y24" s="449" t="str">
        <f t="shared" si="0"/>
        <v/>
      </c>
      <c r="Z24" s="449" t="str">
        <f t="shared" si="1"/>
        <v/>
      </c>
    </row>
    <row r="25" spans="25:26" x14ac:dyDescent="0.25">
      <c r="Y25" s="449" t="str">
        <f t="shared" si="0"/>
        <v/>
      </c>
      <c r="Z25" s="449" t="str">
        <f t="shared" si="1"/>
        <v/>
      </c>
    </row>
    <row r="26" spans="25:26" x14ac:dyDescent="0.25">
      <c r="Y26" s="449" t="str">
        <f t="shared" si="0"/>
        <v/>
      </c>
      <c r="Z26" s="449" t="str">
        <f t="shared" si="1"/>
        <v/>
      </c>
    </row>
    <row r="27" spans="25:26" x14ac:dyDescent="0.25">
      <c r="Y27" s="449" t="str">
        <f t="shared" si="0"/>
        <v/>
      </c>
      <c r="Z27" s="449" t="str">
        <f t="shared" si="1"/>
        <v/>
      </c>
    </row>
    <row r="28" spans="25:26" x14ac:dyDescent="0.25">
      <c r="Y28" s="449" t="str">
        <f t="shared" si="0"/>
        <v/>
      </c>
      <c r="Z28" s="449" t="str">
        <f t="shared" si="1"/>
        <v/>
      </c>
    </row>
    <row r="29" spans="25:26" x14ac:dyDescent="0.25">
      <c r="Y29" s="449" t="str">
        <f t="shared" si="0"/>
        <v/>
      </c>
      <c r="Z29" s="449" t="str">
        <f t="shared" si="1"/>
        <v/>
      </c>
    </row>
    <row r="30" spans="25:26" x14ac:dyDescent="0.25">
      <c r="Y30" s="449" t="str">
        <f t="shared" si="0"/>
        <v/>
      </c>
      <c r="Z30" s="449" t="str">
        <f t="shared" si="1"/>
        <v/>
      </c>
    </row>
    <row r="31" spans="25:26" x14ac:dyDescent="0.25">
      <c r="Y31" s="449" t="str">
        <f t="shared" si="0"/>
        <v/>
      </c>
      <c r="Z31" s="449" t="str">
        <f t="shared" si="1"/>
        <v/>
      </c>
    </row>
    <row r="32" spans="25:26" x14ac:dyDescent="0.25">
      <c r="Y32" s="449" t="str">
        <f t="shared" si="0"/>
        <v/>
      </c>
      <c r="Z32" s="449" t="str">
        <f t="shared" si="1"/>
        <v/>
      </c>
    </row>
    <row r="33" spans="25:26" x14ac:dyDescent="0.25">
      <c r="Y33" s="449" t="str">
        <f t="shared" si="0"/>
        <v/>
      </c>
      <c r="Z33" s="449" t="str">
        <f t="shared" si="1"/>
        <v/>
      </c>
    </row>
    <row r="34" spans="25:26" x14ac:dyDescent="0.25">
      <c r="Y34" s="449" t="str">
        <f t="shared" si="0"/>
        <v/>
      </c>
      <c r="Z34" s="449" t="str">
        <f t="shared" si="1"/>
        <v/>
      </c>
    </row>
    <row r="35" spans="25:26" x14ac:dyDescent="0.25">
      <c r="Y35" s="449" t="str">
        <f t="shared" si="0"/>
        <v/>
      </c>
      <c r="Z35" s="449" t="str">
        <f t="shared" si="1"/>
        <v/>
      </c>
    </row>
    <row r="36" spans="25:26" x14ac:dyDescent="0.25">
      <c r="Y36" s="449" t="str">
        <f t="shared" si="0"/>
        <v/>
      </c>
      <c r="Z36" s="449" t="str">
        <f t="shared" si="1"/>
        <v/>
      </c>
    </row>
    <row r="37" spans="25:26" x14ac:dyDescent="0.25">
      <c r="Y37" s="449" t="str">
        <f t="shared" si="0"/>
        <v/>
      </c>
      <c r="Z37" s="449" t="str">
        <f t="shared" si="1"/>
        <v/>
      </c>
    </row>
    <row r="38" spans="25:26" x14ac:dyDescent="0.25">
      <c r="Y38" s="449" t="str">
        <f t="shared" si="0"/>
        <v/>
      </c>
      <c r="Z38" s="449" t="str">
        <f t="shared" si="1"/>
        <v/>
      </c>
    </row>
    <row r="39" spans="25:26" x14ac:dyDescent="0.25">
      <c r="Y39" s="449" t="str">
        <f t="shared" si="0"/>
        <v/>
      </c>
      <c r="Z39" s="449" t="str">
        <f t="shared" si="1"/>
        <v/>
      </c>
    </row>
    <row r="40" spans="25:26" x14ac:dyDescent="0.25">
      <c r="Y40" s="449" t="str">
        <f t="shared" si="0"/>
        <v/>
      </c>
      <c r="Z40" s="449" t="str">
        <f t="shared" si="1"/>
        <v/>
      </c>
    </row>
    <row r="41" spans="25:26" x14ac:dyDescent="0.25">
      <c r="Y41" s="449" t="str">
        <f t="shared" si="0"/>
        <v/>
      </c>
      <c r="Z41" s="449" t="str">
        <f t="shared" si="1"/>
        <v/>
      </c>
    </row>
    <row r="42" spans="25:26" x14ac:dyDescent="0.25">
      <c r="Y42" s="449" t="str">
        <f t="shared" si="0"/>
        <v/>
      </c>
      <c r="Z42" s="449" t="str">
        <f t="shared" si="1"/>
        <v/>
      </c>
    </row>
    <row r="43" spans="25:26" x14ac:dyDescent="0.25">
      <c r="Y43" s="449" t="str">
        <f t="shared" si="0"/>
        <v/>
      </c>
      <c r="Z43" s="449" t="str">
        <f t="shared" si="1"/>
        <v/>
      </c>
    </row>
    <row r="44" spans="25:26" x14ac:dyDescent="0.25">
      <c r="Y44" s="449" t="str">
        <f t="shared" si="0"/>
        <v/>
      </c>
      <c r="Z44" s="449" t="str">
        <f t="shared" si="1"/>
        <v/>
      </c>
    </row>
    <row r="45" spans="25:26" x14ac:dyDescent="0.25">
      <c r="Y45" s="449" t="str">
        <f t="shared" si="0"/>
        <v/>
      </c>
      <c r="Z45" s="449" t="str">
        <f t="shared" si="1"/>
        <v/>
      </c>
    </row>
    <row r="46" spans="25:26" x14ac:dyDescent="0.25">
      <c r="Y46" s="449" t="str">
        <f t="shared" si="0"/>
        <v/>
      </c>
      <c r="Z46" s="449" t="str">
        <f t="shared" si="1"/>
        <v/>
      </c>
    </row>
    <row r="47" spans="25:26" x14ac:dyDescent="0.25">
      <c r="Y47" s="449" t="str">
        <f t="shared" si="0"/>
        <v/>
      </c>
      <c r="Z47" s="449" t="str">
        <f t="shared" si="1"/>
        <v/>
      </c>
    </row>
    <row r="48" spans="25:26" x14ac:dyDescent="0.25">
      <c r="Y48" s="449" t="str">
        <f t="shared" si="0"/>
        <v/>
      </c>
      <c r="Z48" s="449" t="str">
        <f t="shared" si="1"/>
        <v/>
      </c>
    </row>
    <row r="49" spans="25:26" x14ac:dyDescent="0.25">
      <c r="Y49" s="449" t="str">
        <f t="shared" si="0"/>
        <v/>
      </c>
      <c r="Z49" s="449" t="str">
        <f t="shared" si="1"/>
        <v/>
      </c>
    </row>
    <row r="50" spans="25:26" x14ac:dyDescent="0.25">
      <c r="Y50" s="449" t="str">
        <f t="shared" si="0"/>
        <v/>
      </c>
      <c r="Z50" s="449" t="str">
        <f t="shared" si="1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J948"/>
  <sheetViews>
    <sheetView zoomScale="60" zoomScaleNormal="60" workbookViewId="0">
      <selection activeCell="A29" sqref="A29:A30"/>
    </sheetView>
  </sheetViews>
  <sheetFormatPr defaultRowHeight="15" x14ac:dyDescent="0.25"/>
  <cols>
    <col min="1" max="1" width="53.85546875" bestFit="1" customWidth="1" collapsed="1"/>
    <col min="2" max="3" width="31.7109375" bestFit="1" customWidth="1" collapsed="1"/>
    <col min="4" max="12" width="14.42578125" bestFit="1" customWidth="1" collapsed="1"/>
    <col min="16" max="16" width="31" bestFit="1" customWidth="1" collapsed="1"/>
    <col min="28" max="28" width="9.5703125" bestFit="1" customWidth="1"/>
    <col min="36" max="36" width="12" bestFit="1" customWidth="1" collapsed="1"/>
  </cols>
  <sheetData>
    <row r="1" spans="1:27" x14ac:dyDescent="0.25">
      <c r="A1" t="s">
        <v>167</v>
      </c>
      <c r="B1" t="s">
        <v>168</v>
      </c>
      <c r="C1" t="s">
        <v>169</v>
      </c>
    </row>
    <row r="2" spans="1:27" x14ac:dyDescent="0.25">
      <c r="A2" t="s">
        <v>1854</v>
      </c>
      <c r="B2" t="s">
        <v>544</v>
      </c>
      <c r="C2" t="s">
        <v>544</v>
      </c>
      <c r="H2" t="s">
        <v>1830</v>
      </c>
      <c r="I2" s="53" t="s">
        <v>539</v>
      </c>
      <c r="K2" t="str">
        <f>"FY - "&amp;$I$2-5</f>
        <v>FY - 2013</v>
      </c>
      <c r="L2" t="str">
        <f>"FY - "&amp;$I$2-4</f>
        <v>FY - 2014</v>
      </c>
      <c r="M2" t="str">
        <f>"FY - "&amp;$I$2-3</f>
        <v>FY - 2015</v>
      </c>
      <c r="N2" t="str">
        <f>"FY - "&amp;$I$2-2</f>
        <v>FY - 2016</v>
      </c>
      <c r="O2" t="str">
        <f>"FY - "&amp;$I$2-1</f>
        <v>FY - 2017</v>
      </c>
      <c r="P2" t="str">
        <f>"FY - "&amp;$I$2</f>
        <v>FY - 2018</v>
      </c>
      <c r="Q2" t="str">
        <f>"FY - "&amp;$I$2+1</f>
        <v>FY - 2019</v>
      </c>
      <c r="R2" t="str">
        <f>"FY - "&amp;$I$2+2</f>
        <v>FY - 2020</v>
      </c>
      <c r="S2" t="str">
        <f>"FY - "&amp;$I$2+3</f>
        <v>FY - 2021</v>
      </c>
      <c r="T2" t="str">
        <f>"FY - "&amp;$I$2+4</f>
        <v>FY - 2022</v>
      </c>
      <c r="U2" t="str">
        <f>"FY - "&amp;$I$2+5</f>
        <v>FY - 2023</v>
      </c>
      <c r="Z2" t="s">
        <v>642</v>
      </c>
      <c r="AA2" s="24"/>
    </row>
    <row r="3" spans="1:27" x14ac:dyDescent="0.25">
      <c r="A3" t="s">
        <v>1854</v>
      </c>
      <c r="B3" t="s">
        <v>545</v>
      </c>
      <c r="C3" t="s">
        <v>545</v>
      </c>
    </row>
    <row r="4" spans="1:27" x14ac:dyDescent="0.25">
      <c r="A4" t="s">
        <v>1854</v>
      </c>
      <c r="B4" t="s">
        <v>546</v>
      </c>
      <c r="C4" t="s">
        <v>546</v>
      </c>
    </row>
    <row r="5" spans="1:27" x14ac:dyDescent="0.25">
      <c r="A5" t="s">
        <v>1854</v>
      </c>
      <c r="B5" t="s">
        <v>547</v>
      </c>
      <c r="C5" t="s">
        <v>547</v>
      </c>
      <c r="Z5" t="s">
        <v>642</v>
      </c>
      <c r="AA5" s="24"/>
    </row>
    <row r="6" spans="1:27" x14ac:dyDescent="0.25">
      <c r="A6" t="s">
        <v>1854</v>
      </c>
      <c r="B6" t="s">
        <v>548</v>
      </c>
      <c r="C6" t="s">
        <v>548</v>
      </c>
    </row>
    <row r="7" spans="1:27" x14ac:dyDescent="0.25">
      <c r="A7" t="s">
        <v>1854</v>
      </c>
      <c r="B7" t="s">
        <v>549</v>
      </c>
      <c r="C7" t="s">
        <v>549</v>
      </c>
    </row>
    <row r="8" spans="1:27" x14ac:dyDescent="0.25">
      <c r="A8" t="s">
        <v>1854</v>
      </c>
      <c r="B8" t="s">
        <v>550</v>
      </c>
      <c r="C8" t="s">
        <v>550</v>
      </c>
    </row>
    <row r="9" spans="1:27" x14ac:dyDescent="0.25">
      <c r="A9" t="s">
        <v>1854</v>
      </c>
      <c r="B9" t="s">
        <v>551</v>
      </c>
      <c r="C9" t="s">
        <v>551</v>
      </c>
    </row>
    <row r="10" spans="1:27" x14ac:dyDescent="0.25">
      <c r="A10" t="s">
        <v>1854</v>
      </c>
      <c r="B10" t="s">
        <v>552</v>
      </c>
      <c r="C10" t="s">
        <v>552</v>
      </c>
      <c r="AA10" s="24"/>
    </row>
    <row r="11" spans="1:27" x14ac:dyDescent="0.25">
      <c r="A11" t="s">
        <v>1854</v>
      </c>
      <c r="B11" t="s">
        <v>553</v>
      </c>
      <c r="C11" t="s">
        <v>553</v>
      </c>
    </row>
    <row r="12" spans="1:27" x14ac:dyDescent="0.25">
      <c r="A12" t="s">
        <v>1854</v>
      </c>
      <c r="B12" t="s">
        <v>554</v>
      </c>
      <c r="C12" t="s">
        <v>554</v>
      </c>
    </row>
    <row r="13" spans="1:27" x14ac:dyDescent="0.25">
      <c r="A13" t="s">
        <v>1854</v>
      </c>
      <c r="B13" t="s">
        <v>555</v>
      </c>
      <c r="C13" t="s">
        <v>555</v>
      </c>
    </row>
    <row r="14" spans="1:27" x14ac:dyDescent="0.25">
      <c r="A14" t="s">
        <v>1854</v>
      </c>
      <c r="B14" t="s">
        <v>561</v>
      </c>
      <c r="C14" t="s">
        <v>561</v>
      </c>
    </row>
    <row r="15" spans="1:27" x14ac:dyDescent="0.25">
      <c r="A15" t="s">
        <v>1854</v>
      </c>
      <c r="B15" t="s">
        <v>562</v>
      </c>
      <c r="C15" t="s">
        <v>562</v>
      </c>
      <c r="AA15" s="24"/>
    </row>
    <row r="16" spans="1:27" x14ac:dyDescent="0.25">
      <c r="A16" t="s">
        <v>1854</v>
      </c>
      <c r="B16" t="s">
        <v>563</v>
      </c>
      <c r="C16" t="s">
        <v>563</v>
      </c>
      <c r="Y16" t="str">
        <f>LEFT(AD16,2)</f>
        <v/>
      </c>
      <c r="Z16" t="str">
        <f>MID(AD16,6,1000)</f>
        <v/>
      </c>
    </row>
    <row r="17" spans="1:27" x14ac:dyDescent="0.25">
      <c r="A17" t="s">
        <v>1854</v>
      </c>
      <c r="B17" t="s">
        <v>1428</v>
      </c>
      <c r="C17" t="s">
        <v>1428</v>
      </c>
      <c r="Y17" t="str">
        <f t="shared" ref="Y17:Y27" si="0">LEFT(AD17,2)</f>
        <v/>
      </c>
      <c r="Z17" t="str">
        <f t="shared" ref="Z17:Z21" si="1">MID(AD17,6,1000)</f>
        <v/>
      </c>
    </row>
    <row r="18" spans="1:27" x14ac:dyDescent="0.25">
      <c r="A18" t="s">
        <v>1854</v>
      </c>
      <c r="B18" t="s">
        <v>564</v>
      </c>
      <c r="C18" t="s">
        <v>564</v>
      </c>
      <c r="Y18" t="str">
        <f t="shared" si="0"/>
        <v/>
      </c>
      <c r="Z18" t="str">
        <f t="shared" si="1"/>
        <v/>
      </c>
    </row>
    <row r="19" spans="1:27" x14ac:dyDescent="0.25">
      <c r="A19" t="s">
        <v>1854</v>
      </c>
      <c r="B19" t="s">
        <v>565</v>
      </c>
      <c r="C19" t="s">
        <v>565</v>
      </c>
      <c r="Y19" t="str">
        <f t="shared" si="0"/>
        <v/>
      </c>
      <c r="Z19" t="str">
        <f t="shared" si="1"/>
        <v/>
      </c>
    </row>
    <row r="20" spans="1:27" x14ac:dyDescent="0.25">
      <c r="A20" t="s">
        <v>1854</v>
      </c>
      <c r="B20" t="s">
        <v>566</v>
      </c>
      <c r="C20" t="s">
        <v>566</v>
      </c>
      <c r="Y20" t="str">
        <f t="shared" si="0"/>
        <v/>
      </c>
      <c r="Z20" t="str">
        <f t="shared" si="1"/>
        <v/>
      </c>
    </row>
    <row r="21" spans="1:27" x14ac:dyDescent="0.25">
      <c r="A21" t="s">
        <v>1854</v>
      </c>
      <c r="B21" t="s">
        <v>567</v>
      </c>
      <c r="C21" t="s">
        <v>567</v>
      </c>
      <c r="Y21" t="str">
        <f t="shared" si="0"/>
        <v/>
      </c>
      <c r="Z21" t="str">
        <f t="shared" si="1"/>
        <v/>
      </c>
    </row>
    <row r="22" spans="1:27" x14ac:dyDescent="0.25">
      <c r="A22" t="s">
        <v>1854</v>
      </c>
      <c r="B22" t="s">
        <v>1422</v>
      </c>
      <c r="C22" t="s">
        <v>1422</v>
      </c>
      <c r="Y22" t="str">
        <f t="shared" si="0"/>
        <v/>
      </c>
    </row>
    <row r="23" spans="1:27" x14ac:dyDescent="0.25">
      <c r="A23" t="s">
        <v>1854</v>
      </c>
      <c r="B23" t="s">
        <v>568</v>
      </c>
      <c r="C23" t="s">
        <v>568</v>
      </c>
      <c r="Y23" t="str">
        <f t="shared" si="0"/>
        <v/>
      </c>
    </row>
    <row r="24" spans="1:27" x14ac:dyDescent="0.25">
      <c r="A24" t="s">
        <v>1854</v>
      </c>
      <c r="B24" t="s">
        <v>569</v>
      </c>
      <c r="C24" t="s">
        <v>569</v>
      </c>
      <c r="Y24" t="str">
        <f t="shared" si="0"/>
        <v/>
      </c>
    </row>
    <row r="25" spans="1:27" x14ac:dyDescent="0.25">
      <c r="A25" t="s">
        <v>1854</v>
      </c>
      <c r="B25" t="s">
        <v>570</v>
      </c>
      <c r="C25" t="s">
        <v>570</v>
      </c>
      <c r="Y25" t="str">
        <f t="shared" si="0"/>
        <v/>
      </c>
    </row>
    <row r="26" spans="1:27" x14ac:dyDescent="0.25">
      <c r="A26" t="s">
        <v>1854</v>
      </c>
      <c r="B26" t="s">
        <v>571</v>
      </c>
      <c r="C26" t="s">
        <v>571</v>
      </c>
      <c r="Y26" t="str">
        <f t="shared" si="0"/>
        <v/>
      </c>
    </row>
    <row r="27" spans="1:27" x14ac:dyDescent="0.25">
      <c r="A27" t="s">
        <v>1854</v>
      </c>
      <c r="B27" t="s">
        <v>572</v>
      </c>
      <c r="C27" t="s">
        <v>572</v>
      </c>
      <c r="Y27" t="str">
        <f t="shared" si="0"/>
        <v/>
      </c>
    </row>
    <row r="28" spans="1:27" x14ac:dyDescent="0.25">
      <c r="A28" t="s">
        <v>1854</v>
      </c>
      <c r="B28" t="s">
        <v>573</v>
      </c>
      <c r="C28" t="s">
        <v>573</v>
      </c>
    </row>
    <row r="29" spans="1:27" x14ac:dyDescent="0.25">
      <c r="A29" t="s">
        <v>1855</v>
      </c>
      <c r="B29" t="s">
        <v>171</v>
      </c>
      <c r="C29" t="s">
        <v>171</v>
      </c>
      <c r="Q29">
        <v>5</v>
      </c>
      <c r="R29">
        <v>6</v>
      </c>
      <c r="S29">
        <v>7</v>
      </c>
      <c r="T29">
        <v>8</v>
      </c>
      <c r="U29">
        <v>9</v>
      </c>
      <c r="V29">
        <v>10</v>
      </c>
      <c r="W29">
        <v>11</v>
      </c>
      <c r="X29">
        <v>12</v>
      </c>
    </row>
    <row r="30" spans="1:27" x14ac:dyDescent="0.25">
      <c r="A30" t="s">
        <v>1855</v>
      </c>
      <c r="B30" t="s">
        <v>172</v>
      </c>
      <c r="C30" t="s">
        <v>172</v>
      </c>
      <c r="Q30" t="s">
        <v>536</v>
      </c>
      <c r="R30" t="s">
        <v>537</v>
      </c>
      <c r="S30" t="s">
        <v>538</v>
      </c>
      <c r="T30" t="s">
        <v>539</v>
      </c>
      <c r="U30" t="s">
        <v>540</v>
      </c>
      <c r="V30" t="s">
        <v>541</v>
      </c>
      <c r="W30" t="s">
        <v>542</v>
      </c>
      <c r="X30">
        <v>2022</v>
      </c>
      <c r="AA30" s="24"/>
    </row>
    <row r="31" spans="1:27" x14ac:dyDescent="0.25">
      <c r="A31" t="s">
        <v>1854</v>
      </c>
      <c r="B31" t="s">
        <v>1417</v>
      </c>
      <c r="C31" t="s">
        <v>1417</v>
      </c>
      <c r="O31">
        <v>2000</v>
      </c>
      <c r="P31" t="s">
        <v>633</v>
      </c>
      <c r="Q31">
        <f>IFERROR(VLOOKUP(LEFT($O31,4),$Z$31:$AK$50,Q$29,FALSE),0)</f>
        <v>0</v>
      </c>
      <c r="R31">
        <f t="shared" ref="R31:X32" si="2">IFERROR(VLOOKUP(LEFT($O31,4),$Z$31:$AK$50,R$29,FALSE),0)</f>
        <v>0</v>
      </c>
      <c r="S31">
        <f t="shared" si="2"/>
        <v>0</v>
      </c>
      <c r="T31">
        <f t="shared" si="2"/>
        <v>0</v>
      </c>
      <c r="U31">
        <f t="shared" si="2"/>
        <v>0</v>
      </c>
      <c r="V31">
        <f t="shared" si="2"/>
        <v>0</v>
      </c>
      <c r="W31">
        <f t="shared" si="2"/>
        <v>0</v>
      </c>
      <c r="X31">
        <f t="shared" si="2"/>
        <v>0</v>
      </c>
      <c r="Z31" t="str">
        <f>LEFT(AC31,4)</f>
        <v/>
      </c>
    </row>
    <row r="32" spans="1:27" x14ac:dyDescent="0.25">
      <c r="A32" t="s">
        <v>1854</v>
      </c>
      <c r="B32" t="s">
        <v>1418</v>
      </c>
      <c r="C32" t="s">
        <v>1418</v>
      </c>
      <c r="O32">
        <v>3000</v>
      </c>
      <c r="P32" t="s">
        <v>634</v>
      </c>
      <c r="Q32">
        <f>IFERROR(VLOOKUP(LEFT($O32,4),$Z$31:$AK$50,Q$29,FALSE),0)</f>
        <v>0</v>
      </c>
      <c r="R32">
        <f t="shared" si="2"/>
        <v>0</v>
      </c>
      <c r="S32">
        <f t="shared" si="2"/>
        <v>0</v>
      </c>
      <c r="T32">
        <f t="shared" si="2"/>
        <v>0</v>
      </c>
      <c r="U32">
        <f t="shared" si="2"/>
        <v>0</v>
      </c>
      <c r="V32">
        <f t="shared" si="2"/>
        <v>0</v>
      </c>
      <c r="W32">
        <f t="shared" si="2"/>
        <v>0</v>
      </c>
      <c r="X32">
        <f t="shared" si="2"/>
        <v>0</v>
      </c>
      <c r="Z32" t="str">
        <f t="shared" ref="Z32:Z40" si="3">LEFT(AC32,4)</f>
        <v/>
      </c>
    </row>
    <row r="33" spans="1:35" x14ac:dyDescent="0.25">
      <c r="A33" t="s">
        <v>1854</v>
      </c>
      <c r="B33" t="s">
        <v>1419</v>
      </c>
      <c r="C33" t="s">
        <v>1419</v>
      </c>
      <c r="O33">
        <v>4000</v>
      </c>
      <c r="P33" t="s">
        <v>635</v>
      </c>
      <c r="Q33">
        <f>IFERROR(VLOOKUP(LEFT($O33,4),$Z$31:$AK$50,Q$29,FALSE),0)</f>
        <v>0</v>
      </c>
      <c r="R33">
        <f t="shared" ref="R33:X33" si="4">IFERROR(VLOOKUP(LEFT($O33,4),$Z$31:$AK$50,R$29,FALSE),0)</f>
        <v>0</v>
      </c>
      <c r="S33">
        <f t="shared" si="4"/>
        <v>0</v>
      </c>
      <c r="T33">
        <f t="shared" si="4"/>
        <v>0</v>
      </c>
      <c r="U33">
        <f t="shared" si="4"/>
        <v>0</v>
      </c>
      <c r="V33">
        <f t="shared" si="4"/>
        <v>0</v>
      </c>
      <c r="W33">
        <f t="shared" si="4"/>
        <v>0</v>
      </c>
      <c r="X33">
        <f t="shared" si="4"/>
        <v>0</v>
      </c>
      <c r="Z33" t="str">
        <f t="shared" si="3"/>
        <v/>
      </c>
    </row>
    <row r="34" spans="1:35" x14ac:dyDescent="0.25">
      <c r="A34" t="s">
        <v>1854</v>
      </c>
      <c r="B34" t="s">
        <v>1420</v>
      </c>
      <c r="C34" t="s">
        <v>1420</v>
      </c>
      <c r="O34">
        <v>5000</v>
      </c>
      <c r="P34" t="s">
        <v>636</v>
      </c>
      <c r="Q34">
        <f>IFERROR(VLOOKUP(LEFT($O34,4),$Z$31:$AK$50,Q$29,FALSE),0)+IFERROR(VLOOKUP("6000",$Z$31:$AK$50,Q$29,FALSE),0)+IFERROR(VLOOKUP("7000",$Z$31:$AK$50,Q$29,FALSE),0)+IFERROR(VLOOKUP("8000",$Z$31:$AK$50,Q$29,FALSE),0)+IFERROR(VLOOKUP("9000",$Z$31:$AK$50,Q$29,FALSE),0)+IFERROR(VLOOKUP("0000",$Z$31:$AK$50,Q$29,FALSE),0)</f>
        <v>0</v>
      </c>
      <c r="R34">
        <f t="shared" ref="R34:X34" si="5">IFERROR(VLOOKUP(LEFT($O34,4),$Z$31:$AK$50,R$29,FALSE),0)+IFERROR(VLOOKUP("6000",$Z$31:$AK$50,R$29,FALSE),0)+IFERROR(VLOOKUP("7000",$Z$31:$AK$50,R$29,FALSE),0)+IFERROR(VLOOKUP("8000",$Z$31:$AK$50,R$29,FALSE),0)+IFERROR(VLOOKUP("9000",$Z$31:$AK$50,R$29,FALSE),0)+IFERROR(VLOOKUP("0000",$Z$31:$AK$50,R$29,FALSE),0)</f>
        <v>0</v>
      </c>
      <c r="S34">
        <f t="shared" si="5"/>
        <v>0</v>
      </c>
      <c r="T34">
        <f t="shared" si="5"/>
        <v>0</v>
      </c>
      <c r="U34">
        <f t="shared" si="5"/>
        <v>0</v>
      </c>
      <c r="V34">
        <f t="shared" si="5"/>
        <v>0</v>
      </c>
      <c r="W34">
        <f t="shared" si="5"/>
        <v>0</v>
      </c>
      <c r="X34">
        <f t="shared" si="5"/>
        <v>0</v>
      </c>
      <c r="Z34" t="str">
        <f t="shared" si="3"/>
        <v/>
      </c>
    </row>
    <row r="35" spans="1:35" x14ac:dyDescent="0.25">
      <c r="A35" t="s">
        <v>1854</v>
      </c>
      <c r="B35" t="s">
        <v>1823</v>
      </c>
      <c r="C35" t="s">
        <v>1823</v>
      </c>
      <c r="Z35" t="str">
        <f t="shared" si="3"/>
        <v/>
      </c>
    </row>
    <row r="36" spans="1:35" x14ac:dyDescent="0.25">
      <c r="A36" t="s">
        <v>1854</v>
      </c>
      <c r="B36" t="s">
        <v>1824</v>
      </c>
      <c r="C36" t="s">
        <v>1824</v>
      </c>
      <c r="Z36" t="str">
        <f t="shared" si="3"/>
        <v/>
      </c>
    </row>
    <row r="37" spans="1:35" x14ac:dyDescent="0.25">
      <c r="A37" t="s">
        <v>1854</v>
      </c>
      <c r="B37" t="s">
        <v>1825</v>
      </c>
      <c r="C37" t="s">
        <v>1825</v>
      </c>
      <c r="Z37" t="str">
        <f t="shared" si="3"/>
        <v/>
      </c>
    </row>
    <row r="38" spans="1:35" x14ac:dyDescent="0.25">
      <c r="A38" t="s">
        <v>1854</v>
      </c>
      <c r="B38" t="s">
        <v>1826</v>
      </c>
      <c r="C38" t="s">
        <v>1826</v>
      </c>
      <c r="Z38" t="str">
        <f t="shared" si="3"/>
        <v/>
      </c>
    </row>
    <row r="39" spans="1:35" x14ac:dyDescent="0.25">
      <c r="A39" t="s">
        <v>1854</v>
      </c>
      <c r="B39" t="s">
        <v>1827</v>
      </c>
      <c r="C39" t="s">
        <v>1827</v>
      </c>
      <c r="Z39" t="str">
        <f t="shared" si="3"/>
        <v/>
      </c>
    </row>
    <row r="40" spans="1:35" x14ac:dyDescent="0.25">
      <c r="A40" t="s">
        <v>1854</v>
      </c>
      <c r="B40" t="s">
        <v>1828</v>
      </c>
      <c r="C40" t="s">
        <v>1828</v>
      </c>
      <c r="Z40" t="str">
        <f t="shared" si="3"/>
        <v/>
      </c>
    </row>
    <row r="41" spans="1:35" x14ac:dyDescent="0.25">
      <c r="A41" t="s">
        <v>1854</v>
      </c>
      <c r="B41" t="s">
        <v>1829</v>
      </c>
      <c r="C41" t="s">
        <v>1829</v>
      </c>
    </row>
    <row r="42" spans="1:35" x14ac:dyDescent="0.25">
      <c r="A42" t="s">
        <v>1854</v>
      </c>
      <c r="B42" t="s">
        <v>1848</v>
      </c>
      <c r="C42" t="s">
        <v>1848</v>
      </c>
    </row>
    <row r="45" spans="1:35" x14ac:dyDescent="0.25">
      <c r="Z45" s="24" t="s">
        <v>2189</v>
      </c>
      <c r="AA45" t="s">
        <v>536</v>
      </c>
      <c r="AB45" t="s">
        <v>537</v>
      </c>
      <c r="AC45" t="s">
        <v>538</v>
      </c>
      <c r="AD45" t="s">
        <v>539</v>
      </c>
      <c r="AE45" t="s">
        <v>540</v>
      </c>
      <c r="AF45" t="s">
        <v>541</v>
      </c>
      <c r="AG45" t="s">
        <v>542</v>
      </c>
      <c r="AH45" t="s">
        <v>1835</v>
      </c>
      <c r="AI45" t="s">
        <v>1836</v>
      </c>
    </row>
    <row r="46" spans="1:35" x14ac:dyDescent="0.25">
      <c r="Z46" t="s">
        <v>2190</v>
      </c>
      <c r="AA46" s="54">
        <v>0</v>
      </c>
      <c r="AB46">
        <v>0</v>
      </c>
      <c r="AC46">
        <v>0</v>
      </c>
      <c r="AD46">
        <v>169100</v>
      </c>
      <c r="AE46">
        <v>167001</v>
      </c>
      <c r="AF46">
        <v>165176</v>
      </c>
      <c r="AG46">
        <v>161884</v>
      </c>
      <c r="AH46">
        <v>158508</v>
      </c>
      <c r="AI46">
        <v>156729</v>
      </c>
    </row>
    <row r="47" spans="1:35" x14ac:dyDescent="0.25">
      <c r="Z47" t="s">
        <v>2191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</row>
    <row r="48" spans="1:35" x14ac:dyDescent="0.25">
      <c r="Z48" t="s">
        <v>2192</v>
      </c>
      <c r="AA48">
        <v>0</v>
      </c>
      <c r="AB48">
        <v>0</v>
      </c>
      <c r="AC48">
        <v>169100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</row>
    <row r="49" spans="1:35" x14ac:dyDescent="0.25">
      <c r="Z49" t="s">
        <v>2193</v>
      </c>
      <c r="AA49">
        <v>0</v>
      </c>
      <c r="AB49">
        <v>0</v>
      </c>
      <c r="AC49">
        <v>169100</v>
      </c>
      <c r="AD49">
        <v>169100</v>
      </c>
      <c r="AE49">
        <v>167001</v>
      </c>
      <c r="AF49">
        <v>165176</v>
      </c>
      <c r="AG49">
        <v>161884</v>
      </c>
      <c r="AH49">
        <v>158508</v>
      </c>
      <c r="AI49">
        <v>156729</v>
      </c>
    </row>
    <row r="50" spans="1:35" x14ac:dyDescent="0.25">
      <c r="A50" s="24" t="s">
        <v>102</v>
      </c>
      <c r="B50" t="s">
        <v>57</v>
      </c>
      <c r="C50" t="s">
        <v>58</v>
      </c>
      <c r="D50" t="s">
        <v>59</v>
      </c>
      <c r="E50" t="s">
        <v>60</v>
      </c>
      <c r="F50" t="s">
        <v>61</v>
      </c>
      <c r="G50" t="s">
        <v>170</v>
      </c>
      <c r="H50" t="s">
        <v>556</v>
      </c>
      <c r="I50" t="s">
        <v>1839</v>
      </c>
      <c r="AA50" s="4"/>
    </row>
    <row r="51" spans="1:35" x14ac:dyDescent="0.25">
      <c r="A51" t="s">
        <v>103</v>
      </c>
      <c r="B51">
        <v>546.5</v>
      </c>
      <c r="C51">
        <v>528.9</v>
      </c>
      <c r="D51">
        <v>516.6</v>
      </c>
      <c r="E51">
        <v>505.91</v>
      </c>
      <c r="F51">
        <v>490.91</v>
      </c>
      <c r="G51">
        <v>475.91</v>
      </c>
      <c r="H51">
        <v>465.91</v>
      </c>
      <c r="I51">
        <v>460.91</v>
      </c>
    </row>
    <row r="52" spans="1:35" x14ac:dyDescent="0.25">
      <c r="A52" t="s">
        <v>104</v>
      </c>
      <c r="B52">
        <v>-27.299999999999955</v>
      </c>
      <c r="C52">
        <v>-17.600000000000023</v>
      </c>
      <c r="D52">
        <v>-12.299999999999955</v>
      </c>
      <c r="E52">
        <v>-10.689999999999998</v>
      </c>
      <c r="F52">
        <v>-15</v>
      </c>
      <c r="G52">
        <v>-15</v>
      </c>
      <c r="H52">
        <v>-10</v>
      </c>
      <c r="I52">
        <v>-5</v>
      </c>
    </row>
    <row r="53" spans="1:35" x14ac:dyDescent="0.25">
      <c r="A53" t="s">
        <v>1416</v>
      </c>
      <c r="B53">
        <v>505.1</v>
      </c>
      <c r="C53">
        <v>499.4</v>
      </c>
      <c r="D53">
        <v>484</v>
      </c>
      <c r="E53">
        <v>473.71000000000009</v>
      </c>
      <c r="F53">
        <v>458.71000000000009</v>
      </c>
      <c r="G53">
        <v>443.71000000000004</v>
      </c>
      <c r="H53">
        <v>433.71000000000004</v>
      </c>
      <c r="I53">
        <v>428.71000000000004</v>
      </c>
    </row>
    <row r="54" spans="1:35" x14ac:dyDescent="0.25">
      <c r="A54" t="s">
        <v>105</v>
      </c>
      <c r="B54">
        <v>-29.899999999999935</v>
      </c>
      <c r="C54">
        <v>-5.7000000000000455</v>
      </c>
      <c r="D54">
        <v>-15.399999999999977</v>
      </c>
      <c r="E54">
        <v>-10.289999999999907</v>
      </c>
      <c r="F54">
        <v>-15</v>
      </c>
      <c r="G54">
        <v>-15.000000000000057</v>
      </c>
      <c r="H54">
        <v>-10</v>
      </c>
      <c r="I54">
        <v>-5</v>
      </c>
      <c r="AA54" s="24" t="s">
        <v>2194</v>
      </c>
      <c r="AB54" t="s">
        <v>538</v>
      </c>
      <c r="AC54" t="s">
        <v>539</v>
      </c>
      <c r="AD54" t="s">
        <v>540</v>
      </c>
      <c r="AE54" t="s">
        <v>541</v>
      </c>
      <c r="AF54" t="s">
        <v>542</v>
      </c>
      <c r="AG54" t="s">
        <v>1835</v>
      </c>
      <c r="AH54" t="s">
        <v>1836</v>
      </c>
    </row>
    <row r="55" spans="1:35" x14ac:dyDescent="0.25">
      <c r="A55" t="s">
        <v>557</v>
      </c>
      <c r="B55">
        <v>32</v>
      </c>
      <c r="C55">
        <v>19</v>
      </c>
      <c r="D55">
        <v>24</v>
      </c>
      <c r="E55">
        <v>24</v>
      </c>
      <c r="F55">
        <v>24</v>
      </c>
      <c r="G55">
        <v>24</v>
      </c>
      <c r="H55">
        <v>24</v>
      </c>
      <c r="I55">
        <v>24</v>
      </c>
      <c r="AA55" t="s">
        <v>2195</v>
      </c>
      <c r="AB55">
        <v>2294930</v>
      </c>
      <c r="AC55">
        <v>2717786</v>
      </c>
      <c r="AD55">
        <v>2853517</v>
      </c>
      <c r="AE55">
        <v>2953781</v>
      </c>
      <c r="AF55">
        <v>3070779</v>
      </c>
      <c r="AG55">
        <v>3177572</v>
      </c>
      <c r="AH55">
        <v>3295238</v>
      </c>
    </row>
    <row r="56" spans="1:35" x14ac:dyDescent="0.25">
      <c r="A56" t="s">
        <v>106</v>
      </c>
      <c r="B56">
        <v>1.2500000000000001E-2</v>
      </c>
      <c r="C56">
        <v>2.2499999999999999E-2</v>
      </c>
      <c r="D56">
        <v>1.11E-2</v>
      </c>
      <c r="E56">
        <v>0.01</v>
      </c>
      <c r="F56">
        <v>0.01</v>
      </c>
      <c r="G56">
        <v>0.01</v>
      </c>
      <c r="H56">
        <v>0.01</v>
      </c>
      <c r="I56">
        <v>0.01</v>
      </c>
      <c r="AA56" t="s">
        <v>2196</v>
      </c>
      <c r="AB56">
        <v>106841</v>
      </c>
      <c r="AC56">
        <v>103058</v>
      </c>
      <c r="AD56">
        <v>107986</v>
      </c>
      <c r="AE56">
        <v>111619</v>
      </c>
      <c r="AF56">
        <v>115772</v>
      </c>
      <c r="AG56">
        <v>119512</v>
      </c>
      <c r="AH56">
        <v>123741</v>
      </c>
    </row>
    <row r="57" spans="1:35" x14ac:dyDescent="0.25">
      <c r="A57" t="s">
        <v>107</v>
      </c>
      <c r="B57">
        <v>111079</v>
      </c>
      <c r="C57">
        <v>151840</v>
      </c>
      <c r="D57">
        <v>110981</v>
      </c>
      <c r="E57">
        <v>155000</v>
      </c>
      <c r="F57">
        <v>160000</v>
      </c>
      <c r="G57">
        <v>165000</v>
      </c>
      <c r="H57">
        <v>165000</v>
      </c>
      <c r="I57">
        <v>165000</v>
      </c>
      <c r="AA57" t="s">
        <v>2197</v>
      </c>
      <c r="AB57">
        <v>263914</v>
      </c>
      <c r="AC57">
        <v>49848</v>
      </c>
      <c r="AD57">
        <v>46442</v>
      </c>
      <c r="AE57">
        <v>43786</v>
      </c>
      <c r="AF57">
        <v>38297</v>
      </c>
      <c r="AG57">
        <v>31961</v>
      </c>
      <c r="AH57">
        <v>27898</v>
      </c>
    </row>
    <row r="58" spans="1:35" x14ac:dyDescent="0.25">
      <c r="A58" t="s">
        <v>108</v>
      </c>
      <c r="B58">
        <v>0.1</v>
      </c>
      <c r="C58">
        <v>0.1</v>
      </c>
      <c r="D58">
        <v>0.1</v>
      </c>
      <c r="E58">
        <v>0.1</v>
      </c>
      <c r="F58">
        <v>0.1</v>
      </c>
      <c r="G58">
        <v>0.1</v>
      </c>
      <c r="H58">
        <v>0.1</v>
      </c>
      <c r="I58">
        <v>0.1</v>
      </c>
      <c r="AA58" t="s">
        <v>2198</v>
      </c>
      <c r="AB58">
        <v>26676</v>
      </c>
      <c r="AC58">
        <v>26626</v>
      </c>
      <c r="AD58">
        <v>247886</v>
      </c>
      <c r="AE58">
        <v>250365</v>
      </c>
      <c r="AF58">
        <v>252869</v>
      </c>
      <c r="AG58">
        <v>255397</v>
      </c>
      <c r="AH58">
        <v>257951</v>
      </c>
    </row>
    <row r="59" spans="1:35" x14ac:dyDescent="0.25">
      <c r="A59" t="s">
        <v>109</v>
      </c>
      <c r="B59">
        <v>0.01</v>
      </c>
      <c r="C59">
        <v>0.01</v>
      </c>
      <c r="D59">
        <v>0.09</v>
      </c>
      <c r="E59">
        <v>0.09</v>
      </c>
      <c r="F59">
        <v>0.09</v>
      </c>
      <c r="G59">
        <v>0.09</v>
      </c>
      <c r="H59">
        <v>0.09</v>
      </c>
      <c r="I59">
        <v>0.09</v>
      </c>
      <c r="AA59" t="s">
        <v>2199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</row>
    <row r="60" spans="1:35" x14ac:dyDescent="0.25">
      <c r="A60" t="s">
        <v>110</v>
      </c>
      <c r="B60">
        <v>92944</v>
      </c>
      <c r="C60">
        <v>176634</v>
      </c>
      <c r="D60">
        <v>379557</v>
      </c>
      <c r="E60">
        <v>230000</v>
      </c>
      <c r="F60">
        <v>235000</v>
      </c>
      <c r="G60">
        <v>240000</v>
      </c>
      <c r="H60">
        <v>235000</v>
      </c>
      <c r="I60">
        <v>235000</v>
      </c>
      <c r="AA60" t="s">
        <v>2200</v>
      </c>
      <c r="AB60">
        <v>2060881</v>
      </c>
      <c r="AC60">
        <v>2162299</v>
      </c>
      <c r="AD60">
        <v>2091849</v>
      </c>
      <c r="AE60">
        <v>1990865</v>
      </c>
      <c r="AF60">
        <v>1887366</v>
      </c>
      <c r="AG60">
        <v>1812563</v>
      </c>
      <c r="AH60">
        <v>1766801</v>
      </c>
    </row>
    <row r="61" spans="1:35" x14ac:dyDescent="0.25">
      <c r="A61" t="s">
        <v>111</v>
      </c>
      <c r="B61">
        <v>0</v>
      </c>
      <c r="C61">
        <v>0</v>
      </c>
      <c r="D61">
        <v>200000</v>
      </c>
      <c r="E61">
        <v>411118</v>
      </c>
      <c r="F61">
        <v>435183</v>
      </c>
      <c r="G61">
        <v>505101</v>
      </c>
      <c r="H61">
        <v>609536</v>
      </c>
      <c r="I61">
        <v>715743</v>
      </c>
      <c r="AA61" t="s">
        <v>2201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1:35" x14ac:dyDescent="0.25">
      <c r="A62" t="s">
        <v>112</v>
      </c>
      <c r="B62">
        <v>4.2817556864489265E-2</v>
      </c>
      <c r="C62">
        <v>3.5499057186794095E-2</v>
      </c>
      <c r="D62">
        <v>3.4713481001669551E-2</v>
      </c>
      <c r="E62">
        <v>0.03</v>
      </c>
      <c r="F62">
        <v>0.03</v>
      </c>
      <c r="G62">
        <v>0.03</v>
      </c>
      <c r="H62">
        <v>0.03</v>
      </c>
      <c r="I62">
        <v>0.03</v>
      </c>
      <c r="AA62" t="s">
        <v>2202</v>
      </c>
      <c r="AB62">
        <v>62615</v>
      </c>
      <c r="AC62">
        <v>79968</v>
      </c>
      <c r="AD62">
        <v>80772</v>
      </c>
      <c r="AE62">
        <v>81576</v>
      </c>
      <c r="AF62">
        <v>82392</v>
      </c>
      <c r="AG62">
        <v>83220</v>
      </c>
      <c r="AH62">
        <v>84048</v>
      </c>
    </row>
    <row r="63" spans="1:35" x14ac:dyDescent="0.25">
      <c r="A63" t="s">
        <v>558</v>
      </c>
      <c r="B63">
        <v>-1</v>
      </c>
      <c r="C63">
        <v>0</v>
      </c>
      <c r="D63">
        <v>0</v>
      </c>
      <c r="E63">
        <v>0.03</v>
      </c>
      <c r="F63">
        <v>0.03</v>
      </c>
      <c r="G63">
        <v>0.03</v>
      </c>
      <c r="H63">
        <v>0.03</v>
      </c>
      <c r="I63">
        <v>0.03</v>
      </c>
      <c r="AA63" t="s">
        <v>2203</v>
      </c>
      <c r="AB63">
        <v>297427</v>
      </c>
      <c r="AC63">
        <v>294460</v>
      </c>
      <c r="AD63">
        <v>290866</v>
      </c>
      <c r="AE63">
        <v>287746</v>
      </c>
      <c r="AF63">
        <v>282061</v>
      </c>
      <c r="AG63">
        <v>276231</v>
      </c>
      <c r="AH63">
        <v>273185</v>
      </c>
    </row>
    <row r="64" spans="1:35" x14ac:dyDescent="0.25">
      <c r="A64" t="s">
        <v>113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AA64" t="s">
        <v>2204</v>
      </c>
      <c r="AB64">
        <v>30823</v>
      </c>
      <c r="AC64">
        <v>30581</v>
      </c>
      <c r="AD64">
        <v>30237</v>
      </c>
      <c r="AE64">
        <v>29939</v>
      </c>
      <c r="AF64">
        <v>29375</v>
      </c>
      <c r="AG64">
        <v>28792</v>
      </c>
      <c r="AH64">
        <v>28507</v>
      </c>
    </row>
    <row r="65" spans="1:35" x14ac:dyDescent="0.25">
      <c r="A65" t="s">
        <v>114</v>
      </c>
      <c r="B65">
        <v>50928</v>
      </c>
      <c r="C65">
        <v>92178</v>
      </c>
      <c r="D65">
        <v>63273</v>
      </c>
      <c r="E65">
        <v>33636.131999999998</v>
      </c>
      <c r="F65">
        <v>34308.854639999998</v>
      </c>
      <c r="G65">
        <v>34308.854639999998</v>
      </c>
      <c r="H65">
        <v>34308.854639999998</v>
      </c>
      <c r="I65">
        <v>34308.854639999998</v>
      </c>
      <c r="AA65" t="s">
        <v>2205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</row>
    <row r="66" spans="1:35" x14ac:dyDescent="0.25">
      <c r="A66" t="s">
        <v>115</v>
      </c>
      <c r="B66">
        <v>308651</v>
      </c>
      <c r="C66">
        <v>401257</v>
      </c>
      <c r="D66">
        <v>325000</v>
      </c>
      <c r="E66">
        <v>325000</v>
      </c>
      <c r="F66">
        <v>325000</v>
      </c>
      <c r="G66">
        <v>325000</v>
      </c>
      <c r="H66">
        <v>325000</v>
      </c>
      <c r="I66">
        <v>325000</v>
      </c>
      <c r="AA66" t="s">
        <v>2206</v>
      </c>
      <c r="AB66">
        <v>31003</v>
      </c>
      <c r="AC66">
        <v>30819</v>
      </c>
      <c r="AD66">
        <v>30505</v>
      </c>
      <c r="AE66">
        <v>30233</v>
      </c>
      <c r="AF66">
        <v>29690</v>
      </c>
      <c r="AG66">
        <v>29125</v>
      </c>
      <c r="AH66">
        <v>28885</v>
      </c>
    </row>
    <row r="67" spans="1:35" x14ac:dyDescent="0.25">
      <c r="A67" t="s">
        <v>116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AA67" t="s">
        <v>2207</v>
      </c>
      <c r="AB67">
        <v>0</v>
      </c>
      <c r="AC67">
        <v>169100</v>
      </c>
      <c r="AD67">
        <v>167001</v>
      </c>
      <c r="AE67">
        <v>165176</v>
      </c>
      <c r="AF67">
        <v>161884</v>
      </c>
      <c r="AG67">
        <v>158508</v>
      </c>
      <c r="AH67">
        <v>156729</v>
      </c>
    </row>
    <row r="68" spans="1:35" x14ac:dyDescent="0.25">
      <c r="A68" t="s">
        <v>117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AA68" t="s">
        <v>160</v>
      </c>
      <c r="AB68">
        <v>225582</v>
      </c>
      <c r="AC68">
        <v>230311</v>
      </c>
      <c r="AD68">
        <v>250280</v>
      </c>
      <c r="AE68">
        <v>248953</v>
      </c>
      <c r="AF68">
        <v>247443</v>
      </c>
      <c r="AG68">
        <v>246496</v>
      </c>
      <c r="AH68">
        <v>246316</v>
      </c>
    </row>
    <row r="69" spans="1:35" x14ac:dyDescent="0.25">
      <c r="A69" t="s">
        <v>118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35" x14ac:dyDescent="0.25">
      <c r="A70" t="s">
        <v>119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35" x14ac:dyDescent="0.25">
      <c r="A71" t="s">
        <v>120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35" x14ac:dyDescent="0.25">
      <c r="A72" t="s">
        <v>121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35" x14ac:dyDescent="0.25">
      <c r="A73" t="s">
        <v>122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35" x14ac:dyDescent="0.25">
      <c r="AA74" t="s">
        <v>640</v>
      </c>
    </row>
    <row r="75" spans="1:35" x14ac:dyDescent="0.25">
      <c r="A75" s="24" t="s">
        <v>1995</v>
      </c>
      <c r="B75" t="s">
        <v>539</v>
      </c>
      <c r="C75" t="s">
        <v>540</v>
      </c>
      <c r="D75" t="s">
        <v>541</v>
      </c>
      <c r="E75" t="s">
        <v>542</v>
      </c>
      <c r="F75" t="s">
        <v>1835</v>
      </c>
      <c r="G75" t="s">
        <v>1836</v>
      </c>
      <c r="AA75" t="str">
        <f>TEXT('MISC REVENUE'!C6-1,"0000")</f>
        <v>2015</v>
      </c>
      <c r="AB75" t="str">
        <f>'MISC REVENUE'!C6</f>
        <v>2016</v>
      </c>
      <c r="AC75" t="str">
        <f>'MISC REVENUE'!D6</f>
        <v>2017</v>
      </c>
      <c r="AD75" t="str">
        <f>'MISC REVENUE'!E6</f>
        <v>2018</v>
      </c>
      <c r="AE75" t="str">
        <f>'MISC REVENUE'!F6</f>
        <v>2019</v>
      </c>
      <c r="AF75" t="str">
        <f>'MISC REVENUE'!G6</f>
        <v>2020</v>
      </c>
      <c r="AG75" t="str">
        <f>'MISC REVENUE'!H6</f>
        <v>2021</v>
      </c>
      <c r="AH75" t="str">
        <f>'MISC REVENUE'!I6</f>
        <v>2022</v>
      </c>
      <c r="AI75" t="str">
        <f>'MISC REVENUE'!J6</f>
        <v>2023</v>
      </c>
    </row>
    <row r="76" spans="1:35" x14ac:dyDescent="0.25">
      <c r="A76" t="s">
        <v>1995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AA76">
        <f>$E$166</f>
        <v>439897</v>
      </c>
      <c r="AB76" s="54">
        <f>'MISC REVENUE'!C28</f>
        <v>684859.69999999925</v>
      </c>
      <c r="AC76">
        <f>'MISC REVENUE'!D28</f>
        <v>780013.34000000264</v>
      </c>
      <c r="AD76">
        <f>'MISC REVENUE'!E28</f>
        <v>611551.58000000101</v>
      </c>
      <c r="AE76">
        <f>'MISC REVENUE'!F28</f>
        <v>619384.93999999948</v>
      </c>
      <c r="AF76">
        <f>'MISC REVENUE'!G28</f>
        <v>626961.4000000013</v>
      </c>
      <c r="AG76">
        <f>'MISC REVENUE'!H28</f>
        <v>634636.8599999994</v>
      </c>
      <c r="AH76">
        <f>'MISC REVENUE'!I28</f>
        <v>642410.15999999922</v>
      </c>
      <c r="AI76">
        <f>'MISC REVENUE'!J28</f>
        <v>650282.10999999847</v>
      </c>
    </row>
    <row r="77" spans="1:35" x14ac:dyDescent="0.25">
      <c r="A77" t="s">
        <v>1995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35" x14ac:dyDescent="0.25">
      <c r="A78" t="s">
        <v>1995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AA78" t="s">
        <v>641</v>
      </c>
      <c r="AB78">
        <f>AB76-AA76</f>
        <v>244962.69999999925</v>
      </c>
      <c r="AC78">
        <f t="shared" ref="AC78:AI78" si="6">AC76-AB76</f>
        <v>95153.64000000339</v>
      </c>
      <c r="AD78">
        <f t="shared" si="6"/>
        <v>-168461.76000000164</v>
      </c>
      <c r="AE78">
        <f t="shared" si="6"/>
        <v>7833.3599999984726</v>
      </c>
      <c r="AF78">
        <f t="shared" si="6"/>
        <v>7576.4600000018254</v>
      </c>
      <c r="AG78">
        <f t="shared" si="6"/>
        <v>7675.4599999981001</v>
      </c>
      <c r="AH78">
        <f t="shared" si="6"/>
        <v>7773.2999999998137</v>
      </c>
      <c r="AI78">
        <f t="shared" si="6"/>
        <v>7871.9499999992549</v>
      </c>
    </row>
    <row r="79" spans="1:35" x14ac:dyDescent="0.25">
      <c r="A79" t="s">
        <v>1995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35" x14ac:dyDescent="0.25">
      <c r="A80" t="s">
        <v>1995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9" x14ac:dyDescent="0.25">
      <c r="A81" t="s">
        <v>1995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9" x14ac:dyDescent="0.25">
      <c r="A82" t="s">
        <v>1995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9" x14ac:dyDescent="0.25">
      <c r="A83" t="s">
        <v>1995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9" x14ac:dyDescent="0.25">
      <c r="A84" t="s">
        <v>1995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9" x14ac:dyDescent="0.25">
      <c r="A85" t="s">
        <v>1995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9" x14ac:dyDescent="0.25">
      <c r="A86" t="s">
        <v>1995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9" x14ac:dyDescent="0.25">
      <c r="A87" t="s">
        <v>1995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9" spans="1:9" x14ac:dyDescent="0.25">
      <c r="A89" s="24" t="s">
        <v>102</v>
      </c>
      <c r="B89" t="s">
        <v>537</v>
      </c>
      <c r="C89" t="s">
        <v>538</v>
      </c>
      <c r="D89" t="s">
        <v>539</v>
      </c>
      <c r="E89" t="s">
        <v>540</v>
      </c>
      <c r="F89" t="s">
        <v>541</v>
      </c>
      <c r="G89" t="s">
        <v>542</v>
      </c>
      <c r="H89" t="s">
        <v>1835</v>
      </c>
      <c r="I89" t="s">
        <v>1836</v>
      </c>
    </row>
    <row r="90" spans="1:9" x14ac:dyDescent="0.25">
      <c r="A90" t="s">
        <v>125</v>
      </c>
      <c r="B90">
        <v>0.33</v>
      </c>
      <c r="C90">
        <v>0.31868999999999997</v>
      </c>
      <c r="D90">
        <v>0.33</v>
      </c>
      <c r="E90">
        <v>0.33</v>
      </c>
      <c r="F90">
        <v>0.33</v>
      </c>
      <c r="G90">
        <v>0.33</v>
      </c>
      <c r="H90">
        <v>0.33</v>
      </c>
      <c r="I90">
        <v>0.33</v>
      </c>
    </row>
    <row r="91" spans="1:9" x14ac:dyDescent="0.25">
      <c r="A91" t="s">
        <v>126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127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128</v>
      </c>
      <c r="B93">
        <v>200000</v>
      </c>
      <c r="C93">
        <v>100000</v>
      </c>
      <c r="D93">
        <v>100000</v>
      </c>
      <c r="E93">
        <v>175000</v>
      </c>
      <c r="F93">
        <v>175000</v>
      </c>
      <c r="G93">
        <v>175000</v>
      </c>
      <c r="H93">
        <v>175000</v>
      </c>
      <c r="I93">
        <v>175000</v>
      </c>
    </row>
    <row r="94" spans="1:9" x14ac:dyDescent="0.25">
      <c r="A94" t="s">
        <v>1996</v>
      </c>
      <c r="B94">
        <v>0</v>
      </c>
      <c r="C94">
        <v>0</v>
      </c>
      <c r="D94">
        <v>0</v>
      </c>
      <c r="E94">
        <v>625000</v>
      </c>
      <c r="F94">
        <v>638000</v>
      </c>
      <c r="G94">
        <v>640000</v>
      </c>
      <c r="H94">
        <v>657000</v>
      </c>
      <c r="I94">
        <v>664000</v>
      </c>
    </row>
    <row r="97" spans="1:9" x14ac:dyDescent="0.25">
      <c r="A97" s="24" t="s">
        <v>129</v>
      </c>
      <c r="B97" t="s">
        <v>537</v>
      </c>
      <c r="C97" t="s">
        <v>538</v>
      </c>
      <c r="D97" t="s">
        <v>539</v>
      </c>
      <c r="E97" t="s">
        <v>540</v>
      </c>
      <c r="F97" t="s">
        <v>541</v>
      </c>
      <c r="G97" t="s">
        <v>542</v>
      </c>
      <c r="H97" t="s">
        <v>1835</v>
      </c>
      <c r="I97" t="s">
        <v>1836</v>
      </c>
    </row>
    <row r="98" spans="1:9" x14ac:dyDescent="0.25">
      <c r="A98" t="s">
        <v>182</v>
      </c>
      <c r="B98" t="s">
        <v>1995</v>
      </c>
      <c r="C98" t="s">
        <v>1995</v>
      </c>
      <c r="D98" t="s">
        <v>1995</v>
      </c>
      <c r="E98" t="s">
        <v>1995</v>
      </c>
      <c r="F98" t="s">
        <v>1995</v>
      </c>
      <c r="G98" t="s">
        <v>1995</v>
      </c>
      <c r="H98" t="s">
        <v>1995</v>
      </c>
      <c r="I98" t="s">
        <v>1995</v>
      </c>
    </row>
    <row r="99" spans="1:9" x14ac:dyDescent="0.25">
      <c r="A99" t="s">
        <v>183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184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x14ac:dyDescent="0.25">
      <c r="A101" t="s">
        <v>185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x14ac:dyDescent="0.25">
      <c r="A102" t="s">
        <v>186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x14ac:dyDescent="0.25">
      <c r="A103" t="s">
        <v>187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x14ac:dyDescent="0.25">
      <c r="A104" t="s">
        <v>188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x14ac:dyDescent="0.25">
      <c r="A105" t="s">
        <v>189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8" spans="1:9" x14ac:dyDescent="0.25">
      <c r="A108" s="24" t="s">
        <v>130</v>
      </c>
      <c r="B108" t="s">
        <v>1995</v>
      </c>
      <c r="C108" t="s">
        <v>1995</v>
      </c>
      <c r="D108" t="s">
        <v>1995</v>
      </c>
      <c r="E108" t="s">
        <v>1995</v>
      </c>
      <c r="F108" t="s">
        <v>1995</v>
      </c>
      <c r="G108" t="s">
        <v>1995</v>
      </c>
      <c r="H108" t="s">
        <v>1995</v>
      </c>
      <c r="I108" t="s">
        <v>1995</v>
      </c>
    </row>
    <row r="109" spans="1:9" x14ac:dyDescent="0.25">
      <c r="A109" t="s">
        <v>131</v>
      </c>
      <c r="B109">
        <v>10.35399</v>
      </c>
      <c r="C109">
        <v>10.2136</v>
      </c>
      <c r="D109">
        <v>10.63008</v>
      </c>
      <c r="E109">
        <v>10.8139</v>
      </c>
      <c r="F109">
        <v>10.852309999999999</v>
      </c>
      <c r="G109">
        <v>10.92817</v>
      </c>
      <c r="H109">
        <v>10.95269</v>
      </c>
      <c r="I109">
        <v>11.010060000000001</v>
      </c>
    </row>
    <row r="110" spans="1:9" x14ac:dyDescent="0.25">
      <c r="A110" t="s">
        <v>132</v>
      </c>
      <c r="B110">
        <v>0.79351000000000005</v>
      </c>
      <c r="C110">
        <v>0.38315113130467432</v>
      </c>
      <c r="D110">
        <v>0.37029683901842975</v>
      </c>
      <c r="E110">
        <v>0.62914511585496991</v>
      </c>
      <c r="F110">
        <v>0.61082050016914491</v>
      </c>
      <c r="G110">
        <v>0.59302961261855325</v>
      </c>
      <c r="H110">
        <v>0.57575690598529961</v>
      </c>
      <c r="I110">
        <v>0.55898728675729037</v>
      </c>
    </row>
    <row r="111" spans="1:9" x14ac:dyDescent="0.25">
      <c r="A111" t="s">
        <v>1997</v>
      </c>
      <c r="B111">
        <v>0.33</v>
      </c>
      <c r="C111">
        <v>0.31868999999999997</v>
      </c>
      <c r="D111">
        <v>0.33</v>
      </c>
      <c r="E111">
        <v>0.33</v>
      </c>
      <c r="F111">
        <v>0.33</v>
      </c>
      <c r="G111">
        <v>0.33</v>
      </c>
      <c r="H111">
        <v>0.33</v>
      </c>
      <c r="I111">
        <v>0.33</v>
      </c>
    </row>
    <row r="112" spans="1:9" x14ac:dyDescent="0.25">
      <c r="A112" t="s">
        <v>1998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x14ac:dyDescent="0.25">
      <c r="A113" t="s">
        <v>134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x14ac:dyDescent="0.25">
      <c r="A114" t="s">
        <v>135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x14ac:dyDescent="0.25">
      <c r="A115" t="s">
        <v>136</v>
      </c>
      <c r="B115">
        <v>0</v>
      </c>
      <c r="C115">
        <v>0</v>
      </c>
      <c r="D115">
        <v>0</v>
      </c>
      <c r="E115">
        <v>2.2469468423391783</v>
      </c>
      <c r="F115">
        <v>2.2268770234737967</v>
      </c>
      <c r="G115">
        <v>2.1687940118621376</v>
      </c>
      <c r="H115">
        <v>2.1615559270419538</v>
      </c>
      <c r="I115">
        <v>2.1209574766105188</v>
      </c>
    </row>
    <row r="116" spans="1:9" x14ac:dyDescent="0.25">
      <c r="A116" t="s">
        <v>137</v>
      </c>
      <c r="B116">
        <v>11.477499999999999</v>
      </c>
      <c r="C116">
        <v>10.915441131304673</v>
      </c>
      <c r="D116">
        <v>11.330376839018429</v>
      </c>
      <c r="E116">
        <v>14.019991958194147</v>
      </c>
      <c r="F116">
        <v>14.020007523642942</v>
      </c>
      <c r="G116">
        <v>14.019993624480691</v>
      </c>
      <c r="H116">
        <v>14.020002833027254</v>
      </c>
      <c r="I116">
        <v>14.02000476336781</v>
      </c>
    </row>
    <row r="118" spans="1:9" x14ac:dyDescent="0.25">
      <c r="A118" s="24" t="s">
        <v>138</v>
      </c>
      <c r="B118" t="s">
        <v>1995</v>
      </c>
      <c r="C118" t="s">
        <v>1995</v>
      </c>
      <c r="D118" t="s">
        <v>1995</v>
      </c>
      <c r="E118" t="s">
        <v>1995</v>
      </c>
      <c r="F118" t="s">
        <v>1995</v>
      </c>
      <c r="G118" t="s">
        <v>1995</v>
      </c>
      <c r="H118" t="s">
        <v>1995</v>
      </c>
      <c r="I118" t="s">
        <v>1995</v>
      </c>
    </row>
    <row r="119" spans="1:9" x14ac:dyDescent="0.25">
      <c r="A119" t="s">
        <v>139</v>
      </c>
      <c r="B119">
        <v>0.01</v>
      </c>
      <c r="C119">
        <v>0.01</v>
      </c>
      <c r="D119">
        <v>0.09</v>
      </c>
      <c r="E119">
        <v>0.09</v>
      </c>
      <c r="F119">
        <v>0.09</v>
      </c>
      <c r="G119">
        <v>0.09</v>
      </c>
      <c r="H119">
        <v>0.09</v>
      </c>
      <c r="I119">
        <v>0.09</v>
      </c>
    </row>
    <row r="120" spans="1:9" x14ac:dyDescent="0.25">
      <c r="A120" t="s">
        <v>140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x14ac:dyDescent="0.25">
      <c r="A121" t="s">
        <v>141</v>
      </c>
      <c r="B121">
        <v>0.01</v>
      </c>
      <c r="C121">
        <v>0.01</v>
      </c>
      <c r="D121">
        <v>0.09</v>
      </c>
      <c r="E121">
        <v>0.09</v>
      </c>
      <c r="F121">
        <v>0.09</v>
      </c>
      <c r="G121">
        <v>0.09</v>
      </c>
      <c r="H121">
        <v>0.09</v>
      </c>
      <c r="I121">
        <v>0.09</v>
      </c>
    </row>
    <row r="123" spans="1:9" x14ac:dyDescent="0.25">
      <c r="A123" s="24" t="s">
        <v>142</v>
      </c>
      <c r="B123" t="s">
        <v>1995</v>
      </c>
      <c r="C123" t="s">
        <v>1995</v>
      </c>
      <c r="D123" t="s">
        <v>1995</v>
      </c>
      <c r="E123" t="s">
        <v>1995</v>
      </c>
      <c r="F123" t="s">
        <v>1995</v>
      </c>
      <c r="G123" t="s">
        <v>1995</v>
      </c>
      <c r="H123" t="s">
        <v>1995</v>
      </c>
      <c r="I123" t="s">
        <v>1995</v>
      </c>
    </row>
    <row r="124" spans="1:9" x14ac:dyDescent="0.25">
      <c r="A124" t="s">
        <v>142</v>
      </c>
      <c r="B124">
        <v>884271</v>
      </c>
      <c r="C124">
        <v>6608921</v>
      </c>
      <c r="D124">
        <v>12543272</v>
      </c>
      <c r="E124">
        <v>18468189.131999999</v>
      </c>
      <c r="F124">
        <v>24361418.986639999</v>
      </c>
      <c r="G124">
        <v>30183490.841279998</v>
      </c>
      <c r="H124">
        <v>35927418.695919998</v>
      </c>
      <c r="I124">
        <v>41635112.550559998</v>
      </c>
    </row>
    <row r="125" spans="1:9" x14ac:dyDescent="0.25">
      <c r="A125" t="s">
        <v>143</v>
      </c>
      <c r="B125">
        <v>-218666</v>
      </c>
      <c r="C125">
        <v>5724650</v>
      </c>
      <c r="D125">
        <v>5934351</v>
      </c>
      <c r="E125">
        <v>5924917.1319999993</v>
      </c>
      <c r="F125">
        <v>5893229.8546399996</v>
      </c>
      <c r="G125">
        <v>5822071.8546399996</v>
      </c>
      <c r="H125">
        <v>5743927.8546399996</v>
      </c>
      <c r="I125">
        <v>5707693.8546399996</v>
      </c>
    </row>
    <row r="126" spans="1:9" x14ac:dyDescent="0.25">
      <c r="A126" t="s">
        <v>144</v>
      </c>
      <c r="B126">
        <v>0.11740626542227611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</row>
    <row r="127" spans="1:9" x14ac:dyDescent="0.25">
      <c r="A127" t="s">
        <v>1838</v>
      </c>
      <c r="B127">
        <v>6428782</v>
      </c>
      <c r="C127">
        <v>5724650</v>
      </c>
      <c r="D127">
        <v>5934351</v>
      </c>
      <c r="E127">
        <v>5924917.1319999993</v>
      </c>
      <c r="F127">
        <v>5893229.8546399996</v>
      </c>
      <c r="G127">
        <v>5822071.8546399996</v>
      </c>
      <c r="H127">
        <v>5743927.8546399996</v>
      </c>
      <c r="I127">
        <v>5707693.8546399996</v>
      </c>
    </row>
    <row r="128" spans="1:9" x14ac:dyDescent="0.25">
      <c r="A128" t="s">
        <v>145</v>
      </c>
      <c r="B128">
        <v>1.0340135969768456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</row>
    <row r="130" spans="1:13" x14ac:dyDescent="0.25">
      <c r="A130" s="24" t="s">
        <v>1999</v>
      </c>
      <c r="B130" t="s">
        <v>1995</v>
      </c>
      <c r="C130" t="s">
        <v>1995</v>
      </c>
      <c r="D130" t="s">
        <v>1995</v>
      </c>
      <c r="E130" t="s">
        <v>1995</v>
      </c>
      <c r="F130" t="s">
        <v>1995</v>
      </c>
      <c r="G130" t="s">
        <v>1995</v>
      </c>
      <c r="H130" t="s">
        <v>1995</v>
      </c>
      <c r="I130" t="s">
        <v>1995</v>
      </c>
    </row>
    <row r="131" spans="1:13" x14ac:dyDescent="0.25">
      <c r="A131" t="s">
        <v>2000</v>
      </c>
      <c r="B131">
        <v>404153</v>
      </c>
      <c r="C131">
        <v>404153</v>
      </c>
      <c r="D131">
        <v>307220</v>
      </c>
      <c r="E131">
        <v>307220</v>
      </c>
      <c r="F131">
        <v>307220</v>
      </c>
      <c r="G131">
        <v>307220</v>
      </c>
      <c r="H131">
        <v>307220</v>
      </c>
      <c r="I131">
        <v>307220</v>
      </c>
    </row>
    <row r="132" spans="1:13" x14ac:dyDescent="0.25">
      <c r="A132" t="s">
        <v>6</v>
      </c>
      <c r="B132">
        <v>0</v>
      </c>
      <c r="C132">
        <v>-398433.56999999995</v>
      </c>
      <c r="D132">
        <v>-96933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13" x14ac:dyDescent="0.25">
      <c r="A133" t="s">
        <v>2001</v>
      </c>
      <c r="B133">
        <v>232364</v>
      </c>
      <c r="C133">
        <v>225582</v>
      </c>
      <c r="D133">
        <v>230311</v>
      </c>
      <c r="E133">
        <v>250280</v>
      </c>
      <c r="F133">
        <v>248953</v>
      </c>
      <c r="G133">
        <v>247443</v>
      </c>
      <c r="H133">
        <v>246496</v>
      </c>
      <c r="I133">
        <v>246316</v>
      </c>
    </row>
    <row r="134" spans="1:13" x14ac:dyDescent="0.25">
      <c r="A134" t="s">
        <v>1999</v>
      </c>
      <c r="B134">
        <v>-1.7393098758843883</v>
      </c>
      <c r="C134">
        <v>-0.64766492925809538</v>
      </c>
      <c r="D134">
        <v>-0.93881018444952391</v>
      </c>
      <c r="E134">
        <v>-1.2275051941825157</v>
      </c>
      <c r="F134">
        <v>-1.2340481938357843</v>
      </c>
      <c r="G134">
        <v>-1.2415788686687439</v>
      </c>
      <c r="H134">
        <v>-1.246348825133065</v>
      </c>
      <c r="I134">
        <v>-1.2472596177268225</v>
      </c>
    </row>
    <row r="136" spans="1:13" x14ac:dyDescent="0.25">
      <c r="A136" s="24" t="s">
        <v>2002</v>
      </c>
      <c r="B136" t="s">
        <v>2003</v>
      </c>
      <c r="C136" t="s">
        <v>1833</v>
      </c>
      <c r="D136" t="s">
        <v>1995</v>
      </c>
      <c r="E136" t="s">
        <v>1995</v>
      </c>
      <c r="F136" t="s">
        <v>1995</v>
      </c>
      <c r="G136" t="s">
        <v>1995</v>
      </c>
      <c r="H136" t="s">
        <v>1995</v>
      </c>
      <c r="I136" t="s">
        <v>1995</v>
      </c>
      <c r="J136" t="s">
        <v>1995</v>
      </c>
      <c r="K136" t="s">
        <v>1995</v>
      </c>
      <c r="L136" t="s">
        <v>1995</v>
      </c>
      <c r="M136" t="s">
        <v>1995</v>
      </c>
    </row>
    <row r="137" spans="1:13" x14ac:dyDescent="0.25">
      <c r="A137" t="s">
        <v>2004</v>
      </c>
      <c r="B137">
        <v>3562852</v>
      </c>
      <c r="C137">
        <v>3554676</v>
      </c>
      <c r="D137">
        <v>3670772</v>
      </c>
      <c r="E137">
        <v>3690108</v>
      </c>
      <c r="F137">
        <v>3558262</v>
      </c>
      <c r="G137">
        <v>3520358</v>
      </c>
      <c r="H137">
        <v>3476201</v>
      </c>
      <c r="I137">
        <v>3438096</v>
      </c>
      <c r="J137">
        <v>3369047</v>
      </c>
      <c r="K137">
        <v>3298463</v>
      </c>
      <c r="L137">
        <v>3261300</v>
      </c>
      <c r="M137">
        <v>3258102</v>
      </c>
    </row>
    <row r="138" spans="1:13" x14ac:dyDescent="0.25">
      <c r="A138" t="s">
        <v>2005</v>
      </c>
      <c r="B138">
        <v>214051</v>
      </c>
      <c r="C138">
        <v>43805</v>
      </c>
      <c r="D138">
        <v>0</v>
      </c>
      <c r="E138">
        <v>17372</v>
      </c>
      <c r="F138">
        <v>168747</v>
      </c>
      <c r="G138">
        <v>73487</v>
      </c>
      <c r="H138">
        <v>79361</v>
      </c>
      <c r="I138">
        <v>72867</v>
      </c>
      <c r="J138">
        <v>103430</v>
      </c>
      <c r="K138">
        <v>104274</v>
      </c>
      <c r="L138">
        <v>70148</v>
      </c>
      <c r="M138">
        <v>35811</v>
      </c>
    </row>
    <row r="139" spans="1:13" x14ac:dyDescent="0.25">
      <c r="A139" t="s">
        <v>2006</v>
      </c>
      <c r="B139">
        <v>226916</v>
      </c>
      <c r="C139">
        <v>143898</v>
      </c>
      <c r="D139">
        <v>176214</v>
      </c>
      <c r="E139">
        <v>106362</v>
      </c>
      <c r="F139">
        <v>113233</v>
      </c>
      <c r="G139">
        <v>115595</v>
      </c>
      <c r="H139">
        <v>201002</v>
      </c>
      <c r="I139">
        <v>203003</v>
      </c>
      <c r="J139">
        <v>205005</v>
      </c>
      <c r="K139">
        <v>207036</v>
      </c>
      <c r="L139">
        <v>209097</v>
      </c>
      <c r="M139">
        <v>211158</v>
      </c>
    </row>
    <row r="140" spans="1:13" x14ac:dyDescent="0.25">
      <c r="A140" t="s">
        <v>2007</v>
      </c>
      <c r="B140">
        <v>522234</v>
      </c>
      <c r="C140">
        <v>518097</v>
      </c>
      <c r="D140">
        <v>515912</v>
      </c>
      <c r="E140">
        <v>467534</v>
      </c>
      <c r="F140">
        <v>408370</v>
      </c>
      <c r="G140">
        <v>420925</v>
      </c>
      <c r="H140">
        <v>543703</v>
      </c>
      <c r="I140">
        <v>549117</v>
      </c>
      <c r="J140">
        <v>554530</v>
      </c>
      <c r="K140">
        <v>560025</v>
      </c>
      <c r="L140">
        <v>565600</v>
      </c>
      <c r="M140">
        <v>571175</v>
      </c>
    </row>
    <row r="141" spans="1:13" x14ac:dyDescent="0.25">
      <c r="A141" t="s">
        <v>2008</v>
      </c>
      <c r="B141">
        <v>311709</v>
      </c>
      <c r="C141">
        <v>296984</v>
      </c>
      <c r="D141">
        <v>306361</v>
      </c>
      <c r="E141">
        <v>308349</v>
      </c>
      <c r="F141">
        <v>308349</v>
      </c>
      <c r="G141">
        <v>297427</v>
      </c>
      <c r="H141">
        <v>294460</v>
      </c>
      <c r="I141">
        <v>290866</v>
      </c>
      <c r="J141">
        <v>287746</v>
      </c>
      <c r="K141">
        <v>282061</v>
      </c>
      <c r="L141">
        <v>276231</v>
      </c>
      <c r="M141">
        <v>273185</v>
      </c>
    </row>
    <row r="142" spans="1:13" x14ac:dyDescent="0.25">
      <c r="A142" t="s">
        <v>2009</v>
      </c>
      <c r="B142">
        <v>32007</v>
      </c>
      <c r="C142">
        <v>30507</v>
      </c>
      <c r="D142">
        <v>31587</v>
      </c>
      <c r="E142">
        <v>31915</v>
      </c>
      <c r="F142">
        <v>31915</v>
      </c>
      <c r="G142">
        <v>30823</v>
      </c>
      <c r="H142">
        <v>30581</v>
      </c>
      <c r="I142">
        <v>30237</v>
      </c>
      <c r="J142">
        <v>29939</v>
      </c>
      <c r="K142">
        <v>29375</v>
      </c>
      <c r="L142">
        <v>28792</v>
      </c>
      <c r="M142">
        <v>28507</v>
      </c>
    </row>
    <row r="143" spans="1:13" x14ac:dyDescent="0.25">
      <c r="A143" t="s">
        <v>2010</v>
      </c>
      <c r="B143">
        <v>31907</v>
      </c>
      <c r="C143">
        <v>30472</v>
      </c>
      <c r="D143">
        <v>31616</v>
      </c>
      <c r="E143">
        <v>32064</v>
      </c>
      <c r="F143">
        <v>32064</v>
      </c>
      <c r="G143">
        <v>31003</v>
      </c>
      <c r="H143">
        <v>30819</v>
      </c>
      <c r="I143">
        <v>30505</v>
      </c>
      <c r="J143">
        <v>30233</v>
      </c>
      <c r="K143">
        <v>29690</v>
      </c>
      <c r="L143">
        <v>29125</v>
      </c>
      <c r="M143">
        <v>28885</v>
      </c>
    </row>
    <row r="144" spans="1:13" x14ac:dyDescent="0.25">
      <c r="A144" t="s">
        <v>2011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169100</v>
      </c>
      <c r="I144">
        <v>167001</v>
      </c>
      <c r="J144">
        <v>165176</v>
      </c>
      <c r="K144">
        <v>161884</v>
      </c>
      <c r="L144">
        <v>158508</v>
      </c>
      <c r="M144">
        <v>156729</v>
      </c>
    </row>
    <row r="145" spans="1:13" x14ac:dyDescent="0.25">
      <c r="A145" t="s">
        <v>2012</v>
      </c>
      <c r="B145">
        <v>177668</v>
      </c>
      <c r="C145">
        <v>177158</v>
      </c>
      <c r="D145">
        <v>182147</v>
      </c>
      <c r="E145">
        <v>180942</v>
      </c>
      <c r="F145">
        <v>172635</v>
      </c>
      <c r="G145">
        <v>171567</v>
      </c>
      <c r="H145">
        <v>175008</v>
      </c>
      <c r="I145">
        <v>173593</v>
      </c>
      <c r="J145">
        <v>170847</v>
      </c>
      <c r="K145">
        <v>168023</v>
      </c>
      <c r="L145">
        <v>166651</v>
      </c>
      <c r="M145">
        <v>166773</v>
      </c>
    </row>
    <row r="146" spans="1:13" x14ac:dyDescent="0.25">
      <c r="A146" t="s">
        <v>2013</v>
      </c>
      <c r="B146">
        <v>3888</v>
      </c>
      <c r="C146">
        <v>4398</v>
      </c>
      <c r="D146">
        <v>0</v>
      </c>
      <c r="E146">
        <v>1205</v>
      </c>
      <c r="F146">
        <v>9512</v>
      </c>
      <c r="G146">
        <v>10580</v>
      </c>
      <c r="H146">
        <v>7139</v>
      </c>
      <c r="I146">
        <v>8554</v>
      </c>
      <c r="J146">
        <v>11300</v>
      </c>
      <c r="K146">
        <v>14124</v>
      </c>
      <c r="L146">
        <v>15496</v>
      </c>
      <c r="M146">
        <v>15374</v>
      </c>
    </row>
    <row r="147" spans="1:13" x14ac:dyDescent="0.25">
      <c r="A147" t="s">
        <v>2014</v>
      </c>
      <c r="B147">
        <v>28842</v>
      </c>
      <c r="C147">
        <v>28778</v>
      </c>
      <c r="D147">
        <v>29703</v>
      </c>
      <c r="E147">
        <v>29900</v>
      </c>
      <c r="F147">
        <v>28849</v>
      </c>
      <c r="G147">
        <v>28529</v>
      </c>
      <c r="H147">
        <v>28192</v>
      </c>
      <c r="I147">
        <v>27870</v>
      </c>
      <c r="J147">
        <v>27314</v>
      </c>
      <c r="K147">
        <v>26746</v>
      </c>
      <c r="L147">
        <v>26446</v>
      </c>
      <c r="M147">
        <v>26425</v>
      </c>
    </row>
    <row r="148" spans="1:13" x14ac:dyDescent="0.25">
      <c r="A148" t="s">
        <v>2015</v>
      </c>
      <c r="B148">
        <v>31903</v>
      </c>
      <c r="C148">
        <v>31832</v>
      </c>
      <c r="D148">
        <v>32852</v>
      </c>
      <c r="E148">
        <v>33068</v>
      </c>
      <c r="F148">
        <v>31907</v>
      </c>
      <c r="G148">
        <v>31550</v>
      </c>
      <c r="H148">
        <v>31175</v>
      </c>
      <c r="I148">
        <v>30815</v>
      </c>
      <c r="J148">
        <v>30201</v>
      </c>
      <c r="K148">
        <v>29569</v>
      </c>
      <c r="L148">
        <v>29237</v>
      </c>
      <c r="M148">
        <v>29214</v>
      </c>
    </row>
    <row r="149" spans="1:13" x14ac:dyDescent="0.25">
      <c r="A149" t="s">
        <v>2016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">
        <v>2017</v>
      </c>
      <c r="B150">
        <v>18648</v>
      </c>
      <c r="C150">
        <v>18248</v>
      </c>
      <c r="D150">
        <v>18707</v>
      </c>
      <c r="E150">
        <v>18707</v>
      </c>
      <c r="F150">
        <v>18580</v>
      </c>
      <c r="G150">
        <v>17728</v>
      </c>
      <c r="H150">
        <v>17970</v>
      </c>
      <c r="I150">
        <v>17970</v>
      </c>
      <c r="J150">
        <v>17824</v>
      </c>
      <c r="K150">
        <v>17540</v>
      </c>
      <c r="L150">
        <v>17252</v>
      </c>
      <c r="M150">
        <v>17123</v>
      </c>
    </row>
    <row r="151" spans="1:13" x14ac:dyDescent="0.25">
      <c r="A151" t="s">
        <v>2018</v>
      </c>
      <c r="B151">
        <v>1965</v>
      </c>
      <c r="C151">
        <v>1923</v>
      </c>
      <c r="D151">
        <v>1976</v>
      </c>
      <c r="E151">
        <v>1976</v>
      </c>
      <c r="F151">
        <v>1972</v>
      </c>
      <c r="G151">
        <v>1882</v>
      </c>
      <c r="H151">
        <v>1918</v>
      </c>
      <c r="I151">
        <v>1918</v>
      </c>
      <c r="J151">
        <v>1907</v>
      </c>
      <c r="K151">
        <v>1881</v>
      </c>
      <c r="L151">
        <v>1854</v>
      </c>
      <c r="M151">
        <v>1847</v>
      </c>
    </row>
    <row r="152" spans="1:13" x14ac:dyDescent="0.25">
      <c r="A152" t="s">
        <v>2019</v>
      </c>
      <c r="B152">
        <v>85407</v>
      </c>
      <c r="C152">
        <v>9880</v>
      </c>
      <c r="D152">
        <v>119804</v>
      </c>
      <c r="E152">
        <v>99117</v>
      </c>
      <c r="F152">
        <v>111079</v>
      </c>
      <c r="G152">
        <v>151840</v>
      </c>
      <c r="H152">
        <v>110981</v>
      </c>
      <c r="I152">
        <v>155000</v>
      </c>
      <c r="J152">
        <v>160000</v>
      </c>
      <c r="K152">
        <v>165000</v>
      </c>
      <c r="L152">
        <v>165000</v>
      </c>
      <c r="M152">
        <v>165000</v>
      </c>
    </row>
    <row r="153" spans="1:13" x14ac:dyDescent="0.25">
      <c r="A153" t="s">
        <v>164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">
        <v>2020</v>
      </c>
      <c r="B154">
        <v>55300</v>
      </c>
      <c r="C154">
        <v>75480</v>
      </c>
      <c r="D154">
        <v>76213</v>
      </c>
      <c r="E154">
        <v>77125</v>
      </c>
      <c r="F154">
        <v>50928</v>
      </c>
      <c r="G154">
        <v>92178</v>
      </c>
      <c r="H154">
        <v>63273</v>
      </c>
      <c r="I154">
        <v>33636.131999999998</v>
      </c>
      <c r="J154">
        <v>34308.854639999998</v>
      </c>
      <c r="K154">
        <v>34308.854639999998</v>
      </c>
      <c r="L154">
        <v>34308.854639999998</v>
      </c>
      <c r="M154">
        <v>34308.854639999998</v>
      </c>
    </row>
    <row r="155" spans="1:13" x14ac:dyDescent="0.25">
      <c r="A155" t="s">
        <v>2021</v>
      </c>
      <c r="B155">
        <v>0</v>
      </c>
      <c r="C155">
        <v>121280</v>
      </c>
      <c r="D155">
        <v>339462</v>
      </c>
      <c r="E155">
        <v>174339</v>
      </c>
      <c r="F155">
        <v>308651</v>
      </c>
      <c r="G155">
        <v>401257</v>
      </c>
      <c r="H155">
        <v>325000</v>
      </c>
      <c r="I155">
        <v>325000</v>
      </c>
      <c r="J155">
        <v>325000</v>
      </c>
      <c r="K155">
        <v>325000</v>
      </c>
      <c r="L155">
        <v>325000</v>
      </c>
      <c r="M155">
        <v>325000</v>
      </c>
    </row>
    <row r="156" spans="1:13" x14ac:dyDescent="0.25">
      <c r="A156" t="s">
        <v>80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">
        <v>82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">
        <v>83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">
        <v>84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">
        <v>85</v>
      </c>
      <c r="B160">
        <v>0</v>
      </c>
      <c r="C160">
        <v>0</v>
      </c>
      <c r="D160">
        <v>0</v>
      </c>
      <c r="E160">
        <v>-5815</v>
      </c>
      <c r="F160">
        <v>5917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">
        <v>86</v>
      </c>
      <c r="B161">
        <v>37975</v>
      </c>
      <c r="C161">
        <v>37975</v>
      </c>
      <c r="D161">
        <v>31091</v>
      </c>
      <c r="E161">
        <v>31091</v>
      </c>
      <c r="F161">
        <v>31091</v>
      </c>
      <c r="G161">
        <v>36254</v>
      </c>
      <c r="H161">
        <v>31091</v>
      </c>
      <c r="I161">
        <v>10440</v>
      </c>
      <c r="J161">
        <v>10440</v>
      </c>
      <c r="K161">
        <v>10440</v>
      </c>
      <c r="L161">
        <v>10440</v>
      </c>
      <c r="M161">
        <v>10440</v>
      </c>
    </row>
    <row r="162" spans="1:13" x14ac:dyDescent="0.25">
      <c r="A162" t="s">
        <v>87</v>
      </c>
      <c r="B162">
        <v>5267322</v>
      </c>
      <c r="C162">
        <v>5049441</v>
      </c>
      <c r="D162">
        <v>5502235</v>
      </c>
      <c r="E162">
        <v>5233177</v>
      </c>
      <c r="F162">
        <v>5329879</v>
      </c>
      <c r="G162">
        <v>5360475</v>
      </c>
      <c r="H162">
        <v>5554792</v>
      </c>
      <c r="I162">
        <v>5545608.1320000002</v>
      </c>
      <c r="J162">
        <v>5513367.8546399996</v>
      </c>
      <c r="K162">
        <v>5444559.8546399996</v>
      </c>
      <c r="L162">
        <v>5369605.8546399996</v>
      </c>
      <c r="M162">
        <v>5334176.8546399996</v>
      </c>
    </row>
    <row r="163" spans="1:13" x14ac:dyDescent="0.25">
      <c r="A163" t="s">
        <v>2022</v>
      </c>
      <c r="B163">
        <v>88245</v>
      </c>
      <c r="C163">
        <v>87015</v>
      </c>
      <c r="D163">
        <v>91815</v>
      </c>
      <c r="E163">
        <v>89124</v>
      </c>
      <c r="F163">
        <v>103136</v>
      </c>
      <c r="G163">
        <v>62615</v>
      </c>
      <c r="H163">
        <v>79968</v>
      </c>
      <c r="I163">
        <v>80772</v>
      </c>
      <c r="J163">
        <v>81576</v>
      </c>
      <c r="K163">
        <v>82392</v>
      </c>
      <c r="L163">
        <v>83220</v>
      </c>
      <c r="M163">
        <v>84048</v>
      </c>
    </row>
    <row r="164" spans="1:13" x14ac:dyDescent="0.25">
      <c r="A164" t="s">
        <v>2023</v>
      </c>
      <c r="B164">
        <v>302454</v>
      </c>
      <c r="C164">
        <v>292520</v>
      </c>
      <c r="D164">
        <v>296121</v>
      </c>
      <c r="E164">
        <v>304681</v>
      </c>
      <c r="F164">
        <v>310907</v>
      </c>
      <c r="G164">
        <v>301560</v>
      </c>
      <c r="H164">
        <v>299591</v>
      </c>
      <c r="I164">
        <v>298537</v>
      </c>
      <c r="J164">
        <v>298286</v>
      </c>
      <c r="K164">
        <v>295120</v>
      </c>
      <c r="L164">
        <v>291102</v>
      </c>
      <c r="M164">
        <v>289469</v>
      </c>
    </row>
    <row r="165" spans="1:13" x14ac:dyDescent="0.25">
      <c r="A165" t="s">
        <v>2024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">
        <v>91</v>
      </c>
      <c r="B166">
        <v>551344</v>
      </c>
      <c r="C166">
        <v>409440</v>
      </c>
      <c r="D166">
        <v>521158</v>
      </c>
      <c r="E166">
        <v>439897</v>
      </c>
      <c r="F166">
        <v>684860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">
        <v>92</v>
      </c>
      <c r="B167">
        <v>1857900</v>
      </c>
      <c r="C167">
        <v>2135547</v>
      </c>
      <c r="D167">
        <v>1813457</v>
      </c>
      <c r="E167">
        <v>1433914</v>
      </c>
      <c r="F167">
        <v>1102937</v>
      </c>
      <c r="G167">
        <v>884271</v>
      </c>
      <c r="H167">
        <v>6608921</v>
      </c>
      <c r="I167">
        <v>12543272</v>
      </c>
      <c r="J167">
        <v>18468189.131999999</v>
      </c>
      <c r="K167">
        <v>24361418.986639999</v>
      </c>
      <c r="L167">
        <v>30183490.841279998</v>
      </c>
      <c r="M167">
        <v>35927418.695919998</v>
      </c>
    </row>
    <row r="168" spans="1:13" x14ac:dyDescent="0.25">
      <c r="A168" t="s">
        <v>93</v>
      </c>
      <c r="B168">
        <v>8067265</v>
      </c>
      <c r="C168">
        <v>7973963</v>
      </c>
      <c r="D168">
        <v>8224786</v>
      </c>
      <c r="E168">
        <v>7500793</v>
      </c>
      <c r="F168">
        <v>7531719</v>
      </c>
      <c r="G168">
        <v>6608921</v>
      </c>
      <c r="H168">
        <v>12543272</v>
      </c>
      <c r="I168">
        <v>18468189.131999999</v>
      </c>
      <c r="J168">
        <v>24361418.986639999</v>
      </c>
      <c r="K168">
        <v>30183490.841279998</v>
      </c>
      <c r="L168">
        <v>35927418.695919998</v>
      </c>
      <c r="M168">
        <v>41635112.550559998</v>
      </c>
    </row>
    <row r="169" spans="1:13" x14ac:dyDescent="0.25">
      <c r="A169" t="s">
        <v>94</v>
      </c>
      <c r="B169">
        <v>5931718</v>
      </c>
      <c r="C169">
        <v>6160506</v>
      </c>
      <c r="D169">
        <v>6790872</v>
      </c>
      <c r="E169">
        <v>6397856</v>
      </c>
      <c r="F169">
        <v>6647448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">
        <v>95</v>
      </c>
      <c r="B170">
        <v>2135547</v>
      </c>
      <c r="C170">
        <v>1813457</v>
      </c>
      <c r="D170">
        <v>1433914</v>
      </c>
      <c r="E170">
        <v>1102937</v>
      </c>
      <c r="F170">
        <v>884271</v>
      </c>
      <c r="G170">
        <v>6608921</v>
      </c>
      <c r="H170">
        <v>12543272</v>
      </c>
      <c r="I170">
        <v>18468189.131999999</v>
      </c>
      <c r="J170">
        <v>24361418.986639999</v>
      </c>
      <c r="K170">
        <v>30183490.841279998</v>
      </c>
      <c r="L170">
        <v>35927418.695919998</v>
      </c>
      <c r="M170">
        <v>41635112.550559998</v>
      </c>
    </row>
    <row r="171" spans="1:13" x14ac:dyDescent="0.25">
      <c r="A171" t="s">
        <v>2025</v>
      </c>
      <c r="B171">
        <v>0.26471759636010467</v>
      </c>
      <c r="C171">
        <v>0.22742229930086208</v>
      </c>
      <c r="D171">
        <v>0.17434058466688374</v>
      </c>
      <c r="E171">
        <v>0.14704271934980742</v>
      </c>
      <c r="F171">
        <v>0.11740626542227611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</row>
    <row r="172" spans="1:13" x14ac:dyDescent="0.25">
      <c r="A172" t="s">
        <v>2026</v>
      </c>
      <c r="B172">
        <v>277647</v>
      </c>
      <c r="C172">
        <v>-322090</v>
      </c>
      <c r="D172">
        <v>-379543</v>
      </c>
      <c r="E172">
        <v>-330977</v>
      </c>
      <c r="F172">
        <v>-218666</v>
      </c>
      <c r="G172">
        <v>5724650</v>
      </c>
      <c r="H172">
        <v>5934351</v>
      </c>
      <c r="I172">
        <v>5924917.1319999993</v>
      </c>
      <c r="J172">
        <v>5893229.8546399996</v>
      </c>
      <c r="K172">
        <v>5822071.8546399996</v>
      </c>
      <c r="L172">
        <v>5743927.8546399996</v>
      </c>
      <c r="M172">
        <v>5707693.8546399996</v>
      </c>
    </row>
    <row r="173" spans="1:13" x14ac:dyDescent="0.25">
      <c r="A173" t="s">
        <v>2027</v>
      </c>
      <c r="B173">
        <v>4.4714234064191748E-2</v>
      </c>
      <c r="C173">
        <v>-5.5167360462152745E-2</v>
      </c>
      <c r="D173">
        <v>-5.9198802619550489E-2</v>
      </c>
      <c r="E173">
        <v>-5.45547389357856E-2</v>
      </c>
      <c r="F173">
        <v>-3.4013596976845695E-2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</row>
    <row r="175" spans="1:13" x14ac:dyDescent="0.25">
      <c r="A175" s="24" t="s">
        <v>2028</v>
      </c>
      <c r="B175" t="s">
        <v>2003</v>
      </c>
      <c r="C175" t="s">
        <v>1833</v>
      </c>
      <c r="D175" t="s">
        <v>1995</v>
      </c>
      <c r="E175" t="s">
        <v>1995</v>
      </c>
      <c r="F175" t="s">
        <v>1995</v>
      </c>
      <c r="G175" t="s">
        <v>1995</v>
      </c>
      <c r="H175" t="s">
        <v>1995</v>
      </c>
      <c r="I175" t="s">
        <v>1995</v>
      </c>
      <c r="J175" t="s">
        <v>1995</v>
      </c>
      <c r="K175" t="s">
        <v>1995</v>
      </c>
      <c r="L175" t="s">
        <v>1995</v>
      </c>
      <c r="M175" t="s">
        <v>1995</v>
      </c>
    </row>
    <row r="176" spans="1:13" x14ac:dyDescent="0.25">
      <c r="A176" t="s">
        <v>157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">
        <v>535</v>
      </c>
      <c r="B177">
        <v>2478290.5299999998</v>
      </c>
      <c r="C177">
        <v>2037820.46</v>
      </c>
      <c r="D177">
        <v>1265230.3700000001</v>
      </c>
      <c r="E177">
        <v>802586.57</v>
      </c>
      <c r="F177">
        <v>404153</v>
      </c>
      <c r="G177">
        <v>307220</v>
      </c>
      <c r="H177">
        <v>307220</v>
      </c>
      <c r="I177">
        <v>307220</v>
      </c>
      <c r="J177">
        <v>307220</v>
      </c>
      <c r="K177">
        <v>307220</v>
      </c>
      <c r="L177">
        <v>307220</v>
      </c>
      <c r="M177">
        <v>307220</v>
      </c>
    </row>
    <row r="178" spans="1:13" x14ac:dyDescent="0.25">
      <c r="A178" t="s">
        <v>159</v>
      </c>
      <c r="B178">
        <v>6335321.5599999996</v>
      </c>
      <c r="C178">
        <v>5714641.2300000004</v>
      </c>
      <c r="D178">
        <v>6066086.1900000004</v>
      </c>
      <c r="E178">
        <v>5989104.5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">
        <v>175</v>
      </c>
      <c r="B179">
        <v>5931718.4000000013</v>
      </c>
      <c r="C179">
        <v>6160506.46</v>
      </c>
      <c r="D179">
        <v>6790872.1800000006</v>
      </c>
      <c r="E179">
        <v>6397856.4300000006</v>
      </c>
      <c r="F179">
        <v>6647448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">
        <v>160</v>
      </c>
      <c r="B180">
        <v>224939</v>
      </c>
      <c r="C180">
        <v>224362</v>
      </c>
      <c r="D180">
        <v>224362</v>
      </c>
      <c r="E180">
        <v>234707</v>
      </c>
      <c r="F180">
        <v>232364</v>
      </c>
      <c r="G180">
        <v>225582</v>
      </c>
      <c r="H180">
        <v>230311</v>
      </c>
      <c r="I180">
        <v>250280</v>
      </c>
      <c r="J180">
        <v>248953</v>
      </c>
      <c r="K180">
        <v>247443</v>
      </c>
      <c r="L180">
        <v>246496</v>
      </c>
      <c r="M180">
        <v>246316</v>
      </c>
    </row>
    <row r="181" spans="1:13" x14ac:dyDescent="0.25">
      <c r="A181" t="s">
        <v>161</v>
      </c>
      <c r="B181">
        <v>0.40558680338993375</v>
      </c>
      <c r="C181">
        <v>0.3711688194044731</v>
      </c>
      <c r="D181">
        <v>0.2165850918066024</v>
      </c>
      <c r="E181">
        <v>0.13947360605519518</v>
      </c>
      <c r="F181">
        <v>-1.7393098758843883</v>
      </c>
      <c r="G181">
        <v>-1.3618994423313917</v>
      </c>
      <c r="H181">
        <v>-1.3339354177612011</v>
      </c>
      <c r="I181">
        <v>-1.2275051941825157</v>
      </c>
      <c r="J181">
        <v>-1.2340481938357843</v>
      </c>
      <c r="K181">
        <v>-1.2415788686687439</v>
      </c>
      <c r="L181">
        <v>-1.246348825133065</v>
      </c>
      <c r="M181">
        <v>-1.2472596177268225</v>
      </c>
    </row>
    <row r="182" spans="1:13" x14ac:dyDescent="0.25">
      <c r="A182" t="s">
        <v>176</v>
      </c>
      <c r="B182">
        <v>73152.846000000136</v>
      </c>
      <c r="C182">
        <v>0</v>
      </c>
      <c r="D182">
        <v>0</v>
      </c>
      <c r="E182">
        <v>0</v>
      </c>
      <c r="F182">
        <v>92944.066000000108</v>
      </c>
      <c r="G182">
        <v>476984.71600000036</v>
      </c>
      <c r="H182">
        <v>925336.60000000009</v>
      </c>
      <c r="I182">
        <v>0</v>
      </c>
      <c r="J182">
        <v>0</v>
      </c>
      <c r="K182">
        <v>0</v>
      </c>
      <c r="L182">
        <v>0</v>
      </c>
      <c r="M182">
        <v>0</v>
      </c>
    </row>
    <row r="184" spans="1:13" x14ac:dyDescent="0.25">
      <c r="A184" s="24" t="s">
        <v>97</v>
      </c>
      <c r="B184" t="s">
        <v>2029</v>
      </c>
      <c r="C184" t="s">
        <v>2030</v>
      </c>
      <c r="D184" t="s">
        <v>2031</v>
      </c>
      <c r="E184" t="s">
        <v>2032</v>
      </c>
      <c r="F184" t="s">
        <v>1995</v>
      </c>
      <c r="G184" t="s">
        <v>1995</v>
      </c>
      <c r="H184" t="s">
        <v>1995</v>
      </c>
      <c r="I184" t="s">
        <v>1995</v>
      </c>
      <c r="J184" t="s">
        <v>1995</v>
      </c>
      <c r="K184" t="s">
        <v>1995</v>
      </c>
      <c r="L184" t="s">
        <v>1995</v>
      </c>
      <c r="M184" t="s">
        <v>1995</v>
      </c>
    </row>
    <row r="185" spans="1:13" x14ac:dyDescent="0.25">
      <c r="A185" t="s">
        <v>99</v>
      </c>
      <c r="B185">
        <v>599</v>
      </c>
      <c r="C185">
        <v>586</v>
      </c>
      <c r="D185">
        <v>593.4</v>
      </c>
      <c r="E185">
        <v>573.79999999999995</v>
      </c>
      <c r="F185">
        <v>546.5</v>
      </c>
      <c r="G185">
        <v>528.9</v>
      </c>
      <c r="H185">
        <v>516.6</v>
      </c>
      <c r="I185">
        <v>505.91</v>
      </c>
      <c r="J185">
        <v>490.91</v>
      </c>
      <c r="K185">
        <v>475.91</v>
      </c>
      <c r="L185">
        <v>465.91</v>
      </c>
      <c r="M185">
        <v>460.91</v>
      </c>
    </row>
    <row r="186" spans="1:13" x14ac:dyDescent="0.25">
      <c r="A186" t="s">
        <v>100</v>
      </c>
      <c r="B186">
        <v>-29.700000000000045</v>
      </c>
      <c r="C186">
        <v>-13</v>
      </c>
      <c r="D186">
        <v>7.3999999999999773</v>
      </c>
      <c r="E186">
        <v>-19.600000000000023</v>
      </c>
      <c r="F186">
        <v>-27.299999999999955</v>
      </c>
      <c r="G186">
        <v>-17.600000000000023</v>
      </c>
      <c r="H186">
        <v>-12.299999999999955</v>
      </c>
      <c r="I186">
        <v>-10.689999999999998</v>
      </c>
      <c r="J186">
        <v>-15</v>
      </c>
      <c r="K186">
        <v>-15</v>
      </c>
      <c r="L186">
        <v>-10</v>
      </c>
      <c r="M186">
        <v>-5</v>
      </c>
    </row>
    <row r="187" spans="1:13" x14ac:dyDescent="0.25">
      <c r="A187" t="s">
        <v>101</v>
      </c>
      <c r="B187">
        <v>-4.7240337203753847E-2</v>
      </c>
      <c r="C187">
        <v>-2.1702838063439065E-2</v>
      </c>
      <c r="D187">
        <v>1.2627986348122828E-2</v>
      </c>
      <c r="E187">
        <v>-3.3029996629592218E-2</v>
      </c>
      <c r="F187">
        <v>-4.7577553154409126E-2</v>
      </c>
      <c r="G187">
        <v>-3.220494053064963E-2</v>
      </c>
      <c r="H187">
        <v>-2.3255813953488289E-2</v>
      </c>
      <c r="I187">
        <v>-2.0692992644212153E-2</v>
      </c>
      <c r="J187">
        <v>-2.9649542408728823E-2</v>
      </c>
      <c r="K187">
        <v>-3.0555498971298199E-2</v>
      </c>
      <c r="L187">
        <v>-2.1012376289634593E-2</v>
      </c>
      <c r="M187">
        <v>-1.0731686377197312E-2</v>
      </c>
    </row>
    <row r="189" spans="1:13" x14ac:dyDescent="0.25">
      <c r="A189" s="24" t="s">
        <v>2033</v>
      </c>
      <c r="B189" t="s">
        <v>1995</v>
      </c>
      <c r="C189" t="s">
        <v>1995</v>
      </c>
      <c r="D189" t="s">
        <v>1995</v>
      </c>
      <c r="E189" t="s">
        <v>2032</v>
      </c>
      <c r="F189" t="s">
        <v>1995</v>
      </c>
      <c r="G189" t="s">
        <v>1995</v>
      </c>
      <c r="H189" t="s">
        <v>1995</v>
      </c>
      <c r="I189" t="s">
        <v>1995</v>
      </c>
      <c r="J189" t="s">
        <v>1995</v>
      </c>
      <c r="K189" t="s">
        <v>1995</v>
      </c>
      <c r="L189" t="s">
        <v>1995</v>
      </c>
      <c r="M189" t="s">
        <v>1995</v>
      </c>
    </row>
    <row r="190" spans="1:13" x14ac:dyDescent="0.25">
      <c r="A190" t="s">
        <v>99</v>
      </c>
      <c r="B190">
        <v>575.4</v>
      </c>
      <c r="C190">
        <v>562</v>
      </c>
      <c r="D190">
        <v>556</v>
      </c>
      <c r="E190">
        <v>535</v>
      </c>
      <c r="F190">
        <v>505.1</v>
      </c>
      <c r="G190">
        <v>499.4</v>
      </c>
      <c r="H190">
        <v>484</v>
      </c>
      <c r="I190">
        <v>473.71000000000009</v>
      </c>
      <c r="J190">
        <v>458.71000000000009</v>
      </c>
      <c r="K190">
        <v>443.71000000000004</v>
      </c>
      <c r="L190">
        <v>433.71000000000004</v>
      </c>
      <c r="M190">
        <v>428.71000000000004</v>
      </c>
    </row>
    <row r="191" spans="1:13" x14ac:dyDescent="0.25">
      <c r="A191" t="s">
        <v>100</v>
      </c>
      <c r="B191">
        <v>-46.200000000000045</v>
      </c>
      <c r="C191">
        <v>-13.399999999999977</v>
      </c>
      <c r="D191">
        <v>-6</v>
      </c>
      <c r="E191">
        <v>-21</v>
      </c>
      <c r="F191">
        <v>-29.899999999999977</v>
      </c>
      <c r="G191">
        <v>-5.7000000000000455</v>
      </c>
      <c r="H191">
        <v>-15.399999999999977</v>
      </c>
      <c r="I191">
        <v>-10.289999999999907</v>
      </c>
      <c r="J191">
        <v>-15</v>
      </c>
      <c r="K191">
        <v>-15.000000000000057</v>
      </c>
      <c r="L191">
        <v>-10</v>
      </c>
      <c r="M191">
        <v>-5</v>
      </c>
    </row>
    <row r="192" spans="1:13" x14ac:dyDescent="0.25">
      <c r="A192" t="s">
        <v>101</v>
      </c>
      <c r="B192">
        <v>-7.4324324324324398E-2</v>
      </c>
      <c r="C192">
        <v>-2.3288147375738578E-2</v>
      </c>
      <c r="D192">
        <v>-1.0676156583629894E-2</v>
      </c>
      <c r="E192">
        <v>-3.7769784172661872E-2</v>
      </c>
      <c r="F192">
        <v>-5.5887850467289675E-2</v>
      </c>
      <c r="G192">
        <v>-1.1284894080380213E-2</v>
      </c>
      <c r="H192">
        <v>-3.0837004405286299E-2</v>
      </c>
      <c r="I192">
        <v>-2.1260330578512204E-2</v>
      </c>
      <c r="J192">
        <v>-3.1664942686453729E-2</v>
      </c>
      <c r="K192">
        <v>-3.2700398944867246E-2</v>
      </c>
      <c r="L192">
        <v>-2.2537242793716616E-2</v>
      </c>
      <c r="M192">
        <v>-1.1528440663115905E-2</v>
      </c>
    </row>
    <row r="194" spans="1:10" x14ac:dyDescent="0.25">
      <c r="A194" s="24" t="s">
        <v>1995</v>
      </c>
      <c r="B194" t="s">
        <v>536</v>
      </c>
      <c r="C194" t="s">
        <v>537</v>
      </c>
      <c r="D194" t="s">
        <v>538</v>
      </c>
      <c r="E194" t="s">
        <v>539</v>
      </c>
      <c r="F194" t="s">
        <v>540</v>
      </c>
      <c r="G194" t="s">
        <v>541</v>
      </c>
      <c r="H194" t="s">
        <v>542</v>
      </c>
      <c r="I194" t="s">
        <v>1835</v>
      </c>
      <c r="J194" t="s">
        <v>1836</v>
      </c>
    </row>
    <row r="195" spans="1:10" x14ac:dyDescent="0.25">
      <c r="A195" t="s">
        <v>45</v>
      </c>
      <c r="B195">
        <v>30755</v>
      </c>
      <c r="C195">
        <v>26676</v>
      </c>
      <c r="D195">
        <v>26626</v>
      </c>
      <c r="E195">
        <v>247886</v>
      </c>
      <c r="F195">
        <v>250365</v>
      </c>
      <c r="G195">
        <v>252869</v>
      </c>
      <c r="H195">
        <v>255397</v>
      </c>
      <c r="I195">
        <v>257951</v>
      </c>
      <c r="J195">
        <v>260531</v>
      </c>
    </row>
    <row r="196" spans="1:10" x14ac:dyDescent="0.25">
      <c r="A196" t="s">
        <v>47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x14ac:dyDescent="0.25">
      <c r="A197" t="s">
        <v>49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200" spans="1:10" x14ac:dyDescent="0.25">
      <c r="A200" s="24" t="s">
        <v>2059</v>
      </c>
      <c r="B200" t="s">
        <v>2060</v>
      </c>
      <c r="C200" t="s">
        <v>2061</v>
      </c>
      <c r="D200" t="s">
        <v>2062</v>
      </c>
      <c r="E200" t="s">
        <v>2063</v>
      </c>
      <c r="F200" t="s">
        <v>2064</v>
      </c>
      <c r="G200" t="s">
        <v>2065</v>
      </c>
      <c r="H200" t="s">
        <v>2066</v>
      </c>
      <c r="I200" t="s">
        <v>2067</v>
      </c>
    </row>
    <row r="201" spans="1:10" x14ac:dyDescent="0.25">
      <c r="A201" t="s">
        <v>2068</v>
      </c>
      <c r="B201" t="s">
        <v>2069</v>
      </c>
      <c r="C201" t="s">
        <v>2070</v>
      </c>
      <c r="D201" t="s">
        <v>2071</v>
      </c>
      <c r="E201">
        <v>-10.69</v>
      </c>
      <c r="F201">
        <v>-15</v>
      </c>
      <c r="G201">
        <v>-15</v>
      </c>
      <c r="H201">
        <v>-10</v>
      </c>
      <c r="I201">
        <v>-5</v>
      </c>
    </row>
    <row r="202" spans="1:10" x14ac:dyDescent="0.25">
      <c r="A202" t="s">
        <v>2072</v>
      </c>
      <c r="B202" t="s">
        <v>2073</v>
      </c>
      <c r="C202" t="s">
        <v>2074</v>
      </c>
      <c r="D202" t="s">
        <v>2075</v>
      </c>
      <c r="E202">
        <v>26</v>
      </c>
      <c r="F202">
        <v>26</v>
      </c>
      <c r="G202">
        <v>26</v>
      </c>
      <c r="H202">
        <v>26</v>
      </c>
      <c r="I202">
        <v>26</v>
      </c>
    </row>
    <row r="203" spans="1:10" x14ac:dyDescent="0.25">
      <c r="A203" t="s">
        <v>2076</v>
      </c>
      <c r="B203" t="s">
        <v>2077</v>
      </c>
      <c r="C203" t="s">
        <v>2078</v>
      </c>
      <c r="D203" t="s">
        <v>2079</v>
      </c>
      <c r="E203">
        <v>58.2</v>
      </c>
      <c r="F203">
        <v>58.2</v>
      </c>
      <c r="G203">
        <v>58.2</v>
      </c>
      <c r="H203">
        <v>58.2</v>
      </c>
      <c r="I203">
        <v>58.2</v>
      </c>
    </row>
    <row r="206" spans="1:10" x14ac:dyDescent="0.25">
      <c r="A206" s="24" t="s">
        <v>2171</v>
      </c>
      <c r="B206" t="s">
        <v>2172</v>
      </c>
      <c r="C206" t="s">
        <v>2173</v>
      </c>
      <c r="D206" t="s">
        <v>2174</v>
      </c>
      <c r="E206">
        <v>505.91</v>
      </c>
      <c r="F206">
        <v>490.91</v>
      </c>
      <c r="G206">
        <v>475.91</v>
      </c>
      <c r="H206">
        <v>465.91</v>
      </c>
      <c r="I206">
        <v>460.91</v>
      </c>
    </row>
    <row r="208" spans="1:10" x14ac:dyDescent="0.25">
      <c r="A208" s="24" t="s">
        <v>2170</v>
      </c>
      <c r="B208">
        <v>505.1</v>
      </c>
      <c r="C208">
        <v>499.4</v>
      </c>
      <c r="D208">
        <v>484</v>
      </c>
      <c r="E208">
        <v>473.71000000000009</v>
      </c>
      <c r="F208">
        <v>458.71000000000009</v>
      </c>
      <c r="G208">
        <v>443.71000000000004</v>
      </c>
      <c r="H208">
        <v>433.71000000000004</v>
      </c>
      <c r="I208">
        <v>428.71000000000004</v>
      </c>
    </row>
    <row r="211" spans="1:9" x14ac:dyDescent="0.25">
      <c r="A211" s="24" t="s">
        <v>2080</v>
      </c>
      <c r="B211" t="s">
        <v>2060</v>
      </c>
      <c r="C211" t="s">
        <v>2061</v>
      </c>
      <c r="D211" t="s">
        <v>2062</v>
      </c>
      <c r="E211" t="s">
        <v>2063</v>
      </c>
      <c r="F211" t="s">
        <v>2064</v>
      </c>
      <c r="G211" t="s">
        <v>2065</v>
      </c>
      <c r="H211" t="s">
        <v>2066</v>
      </c>
      <c r="I211" t="s">
        <v>2067</v>
      </c>
    </row>
    <row r="212" spans="1:9" x14ac:dyDescent="0.25">
      <c r="A212" t="s">
        <v>2081</v>
      </c>
      <c r="B212" t="s">
        <v>2082</v>
      </c>
      <c r="C212" t="s">
        <v>2083</v>
      </c>
      <c r="D212" t="s">
        <v>2084</v>
      </c>
      <c r="E212">
        <v>24</v>
      </c>
      <c r="F212">
        <v>24</v>
      </c>
      <c r="G212">
        <v>24</v>
      </c>
      <c r="H212">
        <v>24</v>
      </c>
      <c r="I212">
        <v>24</v>
      </c>
    </row>
    <row r="213" spans="1:9" x14ac:dyDescent="0.25">
      <c r="A213" t="s">
        <v>2085</v>
      </c>
      <c r="B213" t="s">
        <v>2053</v>
      </c>
      <c r="C213" t="s">
        <v>2053</v>
      </c>
      <c r="D213" t="s">
        <v>2053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x14ac:dyDescent="0.25">
      <c r="A214" t="s">
        <v>2086</v>
      </c>
      <c r="B214" t="s">
        <v>2053</v>
      </c>
      <c r="C214" t="s">
        <v>2053</v>
      </c>
      <c r="D214" t="s">
        <v>2053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t="s">
        <v>2087</v>
      </c>
      <c r="B215" t="s">
        <v>2053</v>
      </c>
      <c r="C215" t="s">
        <v>2053</v>
      </c>
      <c r="D215" t="s">
        <v>2053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x14ac:dyDescent="0.25">
      <c r="A216" t="s">
        <v>2088</v>
      </c>
      <c r="B216" t="s">
        <v>2089</v>
      </c>
      <c r="C216" t="s">
        <v>2053</v>
      </c>
      <c r="D216" t="s">
        <v>2053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x14ac:dyDescent="0.25">
      <c r="A217" t="s">
        <v>2090</v>
      </c>
      <c r="B217" t="s">
        <v>2091</v>
      </c>
      <c r="C217" t="s">
        <v>2092</v>
      </c>
      <c r="D217" t="s">
        <v>2093</v>
      </c>
      <c r="E217">
        <v>54</v>
      </c>
      <c r="F217">
        <v>54</v>
      </c>
      <c r="G217">
        <v>54</v>
      </c>
      <c r="H217">
        <v>54</v>
      </c>
      <c r="I217">
        <v>54</v>
      </c>
    </row>
    <row r="218" spans="1:9" x14ac:dyDescent="0.25">
      <c r="A218" t="s">
        <v>2094</v>
      </c>
      <c r="B218" t="s">
        <v>2095</v>
      </c>
      <c r="C218" t="s">
        <v>2096</v>
      </c>
      <c r="D218" t="s">
        <v>2097</v>
      </c>
      <c r="E218">
        <v>12</v>
      </c>
      <c r="F218">
        <v>12</v>
      </c>
      <c r="G218">
        <v>12</v>
      </c>
      <c r="H218">
        <v>12</v>
      </c>
      <c r="I218">
        <v>12</v>
      </c>
    </row>
    <row r="219" spans="1:9" x14ac:dyDescent="0.25">
      <c r="A219" t="s">
        <v>2098</v>
      </c>
      <c r="B219" t="s">
        <v>2099</v>
      </c>
      <c r="C219" t="s">
        <v>2100</v>
      </c>
      <c r="D219" t="s">
        <v>2101</v>
      </c>
      <c r="E219">
        <v>10</v>
      </c>
      <c r="F219">
        <v>10</v>
      </c>
      <c r="G219">
        <v>10</v>
      </c>
      <c r="H219">
        <v>10</v>
      </c>
      <c r="I219">
        <v>10</v>
      </c>
    </row>
    <row r="220" spans="1:9" x14ac:dyDescent="0.25">
      <c r="A220" t="s">
        <v>2102</v>
      </c>
      <c r="B220" t="s">
        <v>2053</v>
      </c>
      <c r="C220" t="s">
        <v>2053</v>
      </c>
      <c r="D220" t="s">
        <v>2053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t="s">
        <v>2103</v>
      </c>
      <c r="B221" t="s">
        <v>2104</v>
      </c>
      <c r="C221" t="s">
        <v>2105</v>
      </c>
      <c r="D221" t="s">
        <v>2106</v>
      </c>
      <c r="E221">
        <v>27.58</v>
      </c>
      <c r="F221">
        <v>27.58</v>
      </c>
      <c r="G221">
        <v>27.58</v>
      </c>
      <c r="H221">
        <v>27.58</v>
      </c>
      <c r="I221">
        <v>27.58</v>
      </c>
    </row>
    <row r="222" spans="1:9" x14ac:dyDescent="0.25">
      <c r="A222" t="s">
        <v>2107</v>
      </c>
      <c r="B222" t="s">
        <v>2108</v>
      </c>
      <c r="C222" t="s">
        <v>2109</v>
      </c>
      <c r="D222" t="s">
        <v>2110</v>
      </c>
      <c r="E222">
        <v>2.2910000000000004</v>
      </c>
      <c r="F222">
        <v>2.2910000000000004</v>
      </c>
      <c r="G222">
        <v>2.2910000000000004</v>
      </c>
      <c r="H222">
        <v>2.2910000000000004</v>
      </c>
      <c r="I222">
        <v>2.2910000000000004</v>
      </c>
    </row>
    <row r="223" spans="1:9" x14ac:dyDescent="0.25">
      <c r="A223" t="s">
        <v>2111</v>
      </c>
      <c r="B223" t="s">
        <v>2053</v>
      </c>
      <c r="C223" t="s">
        <v>2053</v>
      </c>
      <c r="D223" t="s">
        <v>2053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x14ac:dyDescent="0.25">
      <c r="A224" t="s">
        <v>2112</v>
      </c>
      <c r="B224" t="s">
        <v>2053</v>
      </c>
      <c r="C224" t="s">
        <v>2053</v>
      </c>
      <c r="D224" t="s">
        <v>2053</v>
      </c>
      <c r="E224">
        <v>0</v>
      </c>
      <c r="F224">
        <v>0</v>
      </c>
      <c r="G224">
        <v>0</v>
      </c>
      <c r="H224">
        <v>0</v>
      </c>
      <c r="I224">
        <v>0</v>
      </c>
    </row>
    <row r="227" spans="1:9" x14ac:dyDescent="0.25">
      <c r="A227" s="24" t="s">
        <v>2034</v>
      </c>
      <c r="B227" t="s">
        <v>57</v>
      </c>
      <c r="C227" t="s">
        <v>58</v>
      </c>
      <c r="D227" t="s">
        <v>59</v>
      </c>
      <c r="E227" t="s">
        <v>60</v>
      </c>
      <c r="F227" t="s">
        <v>61</v>
      </c>
      <c r="G227" t="s">
        <v>170</v>
      </c>
      <c r="H227" t="s">
        <v>556</v>
      </c>
      <c r="I227" t="s">
        <v>1839</v>
      </c>
    </row>
    <row r="228" spans="1:9" x14ac:dyDescent="0.25">
      <c r="A228" t="s">
        <v>2035</v>
      </c>
      <c r="B228" t="s">
        <v>2036</v>
      </c>
      <c r="C228" t="s">
        <v>2037</v>
      </c>
      <c r="D228" t="s">
        <v>2038</v>
      </c>
      <c r="E228">
        <v>0.01</v>
      </c>
      <c r="F228">
        <v>0.01</v>
      </c>
      <c r="G228">
        <v>0.01</v>
      </c>
      <c r="H228">
        <v>0.01</v>
      </c>
      <c r="I228">
        <v>0.01</v>
      </c>
    </row>
    <row r="229" spans="1:9" x14ac:dyDescent="0.25">
      <c r="A229" t="s">
        <v>2039</v>
      </c>
      <c r="B229" t="s">
        <v>2040</v>
      </c>
      <c r="C229" t="s">
        <v>2041</v>
      </c>
      <c r="D229" t="s">
        <v>2042</v>
      </c>
      <c r="E229">
        <v>155000</v>
      </c>
      <c r="F229">
        <v>160000</v>
      </c>
      <c r="G229">
        <v>165000</v>
      </c>
      <c r="H229">
        <v>165000</v>
      </c>
      <c r="I229">
        <v>165000</v>
      </c>
    </row>
    <row r="232" spans="1:9" x14ac:dyDescent="0.25">
      <c r="A232" s="24" t="s">
        <v>2168</v>
      </c>
      <c r="B232">
        <v>0.05</v>
      </c>
      <c r="C232">
        <v>0.05</v>
      </c>
      <c r="D232">
        <v>0.05</v>
      </c>
      <c r="E232">
        <v>0.05</v>
      </c>
      <c r="F232">
        <v>0.05</v>
      </c>
      <c r="G232">
        <v>0.05</v>
      </c>
      <c r="H232">
        <v>0.05</v>
      </c>
      <c r="I232">
        <v>0.05</v>
      </c>
    </row>
    <row r="233" spans="1:9" x14ac:dyDescent="0.25">
      <c r="A233" t="s">
        <v>2169</v>
      </c>
      <c r="B233">
        <v>177913.1</v>
      </c>
      <c r="C233">
        <v>176017.90000000002</v>
      </c>
      <c r="D233">
        <v>171924.48000000001</v>
      </c>
      <c r="E233">
        <v>171904.80000000002</v>
      </c>
      <c r="F233">
        <v>168452.35</v>
      </c>
      <c r="G233">
        <v>164923.15000000002</v>
      </c>
      <c r="H233">
        <v>163065</v>
      </c>
      <c r="I233">
        <v>162905.1</v>
      </c>
    </row>
    <row r="236" spans="1:9" x14ac:dyDescent="0.25">
      <c r="A236" s="24" t="s">
        <v>2166</v>
      </c>
      <c r="B236" t="s">
        <v>56</v>
      </c>
      <c r="C236" t="s">
        <v>57</v>
      </c>
      <c r="D236" t="s">
        <v>58</v>
      </c>
    </row>
    <row r="237" spans="1:9" x14ac:dyDescent="0.25">
      <c r="A237" t="s">
        <v>2167</v>
      </c>
      <c r="B237">
        <v>0</v>
      </c>
      <c r="C237">
        <v>0</v>
      </c>
      <c r="D237">
        <v>2017</v>
      </c>
    </row>
    <row r="240" spans="1:9" x14ac:dyDescent="0.25">
      <c r="A240" s="24" t="s">
        <v>2113</v>
      </c>
      <c r="B240" t="s">
        <v>57</v>
      </c>
      <c r="C240" t="s">
        <v>58</v>
      </c>
      <c r="D240" t="s">
        <v>59</v>
      </c>
      <c r="E240" t="s">
        <v>60</v>
      </c>
      <c r="F240" t="s">
        <v>61</v>
      </c>
      <c r="G240" t="s">
        <v>170</v>
      </c>
      <c r="H240" t="s">
        <v>556</v>
      </c>
      <c r="I240" t="s">
        <v>1839</v>
      </c>
    </row>
    <row r="241" spans="1:9" x14ac:dyDescent="0.25">
      <c r="A241" t="s">
        <v>2114</v>
      </c>
      <c r="B241" t="s">
        <v>2115</v>
      </c>
      <c r="C241" t="s">
        <v>2115</v>
      </c>
      <c r="D241" t="s">
        <v>2115</v>
      </c>
      <c r="E241">
        <v>0.1</v>
      </c>
      <c r="F241">
        <v>0.1</v>
      </c>
      <c r="G241">
        <v>0.1</v>
      </c>
      <c r="H241">
        <v>0.1</v>
      </c>
      <c r="I241">
        <v>0.1</v>
      </c>
    </row>
    <row r="242" spans="1:9" x14ac:dyDescent="0.25">
      <c r="A242" t="s">
        <v>2116</v>
      </c>
      <c r="B242" t="s">
        <v>2117</v>
      </c>
      <c r="C242" t="s">
        <v>2117</v>
      </c>
      <c r="D242" t="s">
        <v>2118</v>
      </c>
      <c r="E242">
        <v>0.09</v>
      </c>
      <c r="F242">
        <v>0.09</v>
      </c>
      <c r="G242">
        <v>0.09</v>
      </c>
      <c r="H242">
        <v>0.09</v>
      </c>
      <c r="I242">
        <v>0.09</v>
      </c>
    </row>
    <row r="243" spans="1:9" x14ac:dyDescent="0.25">
      <c r="A243" t="s">
        <v>2119</v>
      </c>
      <c r="B243" t="s">
        <v>2053</v>
      </c>
      <c r="C243" t="s">
        <v>2053</v>
      </c>
      <c r="D243" t="s">
        <v>2053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x14ac:dyDescent="0.25">
      <c r="A244" t="s">
        <v>2120</v>
      </c>
      <c r="B244" t="s">
        <v>2053</v>
      </c>
      <c r="C244" t="s">
        <v>2053</v>
      </c>
      <c r="D244" t="s">
        <v>2053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t="s">
        <v>2121</v>
      </c>
      <c r="B245" t="s">
        <v>2122</v>
      </c>
      <c r="C245" t="s">
        <v>2123</v>
      </c>
      <c r="D245" t="s">
        <v>2124</v>
      </c>
      <c r="E245">
        <v>230000</v>
      </c>
      <c r="F245">
        <v>235000</v>
      </c>
      <c r="G245">
        <v>240000</v>
      </c>
      <c r="H245">
        <v>235000</v>
      </c>
      <c r="I245">
        <v>235000</v>
      </c>
    </row>
    <row r="246" spans="1:9" x14ac:dyDescent="0.25">
      <c r="A246" t="s">
        <v>2125</v>
      </c>
      <c r="B246" t="s">
        <v>2053</v>
      </c>
      <c r="C246" t="s">
        <v>2053</v>
      </c>
      <c r="D246" t="s">
        <v>2126</v>
      </c>
      <c r="E246">
        <v>411118</v>
      </c>
      <c r="F246">
        <v>435183</v>
      </c>
      <c r="G246">
        <v>505101</v>
      </c>
      <c r="H246">
        <v>609536</v>
      </c>
      <c r="I246">
        <v>715743</v>
      </c>
    </row>
    <row r="247" spans="1:9" x14ac:dyDescent="0.25">
      <c r="A247" t="s">
        <v>2127</v>
      </c>
      <c r="B247" t="s">
        <v>2053</v>
      </c>
      <c r="C247" t="s">
        <v>2053</v>
      </c>
      <c r="D247" t="s">
        <v>2053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x14ac:dyDescent="0.25">
      <c r="A248" t="s">
        <v>2128</v>
      </c>
      <c r="B248" t="s">
        <v>1430</v>
      </c>
      <c r="C248" t="s">
        <v>1430</v>
      </c>
      <c r="D248" t="s">
        <v>1430</v>
      </c>
      <c r="E248">
        <v>5.4</v>
      </c>
      <c r="F248">
        <v>5.4</v>
      </c>
      <c r="G248">
        <v>5.4</v>
      </c>
      <c r="H248">
        <v>5.4</v>
      </c>
      <c r="I248">
        <v>5.4</v>
      </c>
    </row>
    <row r="249" spans="1:9" x14ac:dyDescent="0.25">
      <c r="A249" t="s">
        <v>2129</v>
      </c>
      <c r="B249" t="s">
        <v>2130</v>
      </c>
      <c r="C249" t="s">
        <v>2131</v>
      </c>
      <c r="D249" t="s">
        <v>2132</v>
      </c>
      <c r="E249">
        <v>0.01</v>
      </c>
      <c r="F249">
        <v>0.01</v>
      </c>
      <c r="G249">
        <v>0.01</v>
      </c>
      <c r="H249">
        <v>0.01</v>
      </c>
      <c r="I249">
        <v>0.01</v>
      </c>
    </row>
    <row r="250" spans="1:9" x14ac:dyDescent="0.25">
      <c r="A250" t="s">
        <v>2133</v>
      </c>
      <c r="B250" t="s">
        <v>2053</v>
      </c>
      <c r="C250" t="s">
        <v>2134</v>
      </c>
      <c r="D250" t="s">
        <v>2135</v>
      </c>
      <c r="E250">
        <v>0.03</v>
      </c>
      <c r="F250">
        <v>0.03</v>
      </c>
      <c r="G250">
        <v>0.03</v>
      </c>
      <c r="H250">
        <v>0.03</v>
      </c>
      <c r="I250">
        <v>0.03</v>
      </c>
    </row>
    <row r="251" spans="1:9" x14ac:dyDescent="0.25">
      <c r="A251" t="s">
        <v>2136</v>
      </c>
      <c r="B251" t="s">
        <v>2053</v>
      </c>
      <c r="C251" t="s">
        <v>2137</v>
      </c>
      <c r="D251" t="s">
        <v>2138</v>
      </c>
      <c r="E251">
        <v>0.03</v>
      </c>
      <c r="F251">
        <v>0.03</v>
      </c>
      <c r="G251">
        <v>0.03</v>
      </c>
      <c r="H251">
        <v>0.03</v>
      </c>
      <c r="I251">
        <v>0.03</v>
      </c>
    </row>
    <row r="261" spans="1:9" x14ac:dyDescent="0.25">
      <c r="A261" s="4"/>
    </row>
    <row r="272" spans="1:9" x14ac:dyDescent="0.25">
      <c r="A272" s="24" t="s">
        <v>2145</v>
      </c>
      <c r="B272" t="s">
        <v>57</v>
      </c>
      <c r="C272" t="s">
        <v>58</v>
      </c>
      <c r="D272" t="s">
        <v>59</v>
      </c>
      <c r="E272" t="s">
        <v>60</v>
      </c>
      <c r="F272" t="s">
        <v>61</v>
      </c>
      <c r="G272" t="s">
        <v>170</v>
      </c>
      <c r="H272" t="s">
        <v>556</v>
      </c>
      <c r="I272" t="s">
        <v>1839</v>
      </c>
    </row>
    <row r="273" spans="1:9" x14ac:dyDescent="0.25">
      <c r="A273" t="s">
        <v>2146</v>
      </c>
      <c r="B273">
        <v>284231</v>
      </c>
      <c r="C273">
        <v>274934</v>
      </c>
      <c r="D273">
        <v>51705</v>
      </c>
      <c r="E273">
        <v>48172</v>
      </c>
      <c r="F273">
        <v>45417</v>
      </c>
      <c r="G273">
        <v>39723</v>
      </c>
      <c r="H273">
        <v>33151</v>
      </c>
      <c r="I273">
        <v>28938</v>
      </c>
    </row>
    <row r="274" spans="1:9" x14ac:dyDescent="0.25">
      <c r="A274" t="s">
        <v>2147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x14ac:dyDescent="0.25">
      <c r="A275" t="s">
        <v>2148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8" spans="1:9" x14ac:dyDescent="0.25">
      <c r="A278" s="24" t="s">
        <v>2149</v>
      </c>
      <c r="B278" t="s">
        <v>57</v>
      </c>
      <c r="C278" t="s">
        <v>58</v>
      </c>
      <c r="D278" t="s">
        <v>59</v>
      </c>
      <c r="E278" t="s">
        <v>60</v>
      </c>
      <c r="F278" t="s">
        <v>61</v>
      </c>
      <c r="G278" t="s">
        <v>170</v>
      </c>
      <c r="H278" t="s">
        <v>556</v>
      </c>
      <c r="I278" t="s">
        <v>1839</v>
      </c>
    </row>
    <row r="279" spans="1:9" x14ac:dyDescent="0.25">
      <c r="A279" t="s">
        <v>2150</v>
      </c>
      <c r="B279" t="s">
        <v>2053</v>
      </c>
      <c r="C279" t="s">
        <v>2053</v>
      </c>
      <c r="D279" t="s">
        <v>2053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x14ac:dyDescent="0.25">
      <c r="A280" t="s">
        <v>2151</v>
      </c>
      <c r="B280" t="s">
        <v>2053</v>
      </c>
      <c r="C280" t="s">
        <v>2053</v>
      </c>
      <c r="D280" t="s">
        <v>2053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x14ac:dyDescent="0.25">
      <c r="A281" t="s">
        <v>2152</v>
      </c>
      <c r="B281" t="s">
        <v>2126</v>
      </c>
      <c r="C281" t="s">
        <v>2153</v>
      </c>
      <c r="D281" t="s">
        <v>2153</v>
      </c>
      <c r="E281">
        <v>175000</v>
      </c>
      <c r="F281">
        <v>175000</v>
      </c>
      <c r="G281">
        <v>175000</v>
      </c>
      <c r="H281">
        <v>175000</v>
      </c>
      <c r="I281">
        <v>175000</v>
      </c>
    </row>
    <row r="282" spans="1:9" x14ac:dyDescent="0.25">
      <c r="A282" t="s">
        <v>2154</v>
      </c>
      <c r="B282" t="s">
        <v>2053</v>
      </c>
      <c r="C282" t="s">
        <v>2053</v>
      </c>
      <c r="D282" t="s">
        <v>2053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x14ac:dyDescent="0.25">
      <c r="A283" t="s">
        <v>2155</v>
      </c>
      <c r="B283" t="s">
        <v>2156</v>
      </c>
      <c r="C283" t="s">
        <v>2157</v>
      </c>
      <c r="D283" t="s">
        <v>2156</v>
      </c>
      <c r="E283">
        <v>0.33</v>
      </c>
      <c r="F283">
        <v>0.33</v>
      </c>
      <c r="G283">
        <v>0.33</v>
      </c>
      <c r="H283">
        <v>0.33</v>
      </c>
      <c r="I283">
        <v>0.33</v>
      </c>
    </row>
    <row r="284" spans="1:9" x14ac:dyDescent="0.25">
      <c r="A284" t="s">
        <v>2158</v>
      </c>
      <c r="B284" t="s">
        <v>2053</v>
      </c>
      <c r="C284" t="s">
        <v>2053</v>
      </c>
      <c r="D284" t="s">
        <v>2053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x14ac:dyDescent="0.25">
      <c r="A285" t="s">
        <v>2159</v>
      </c>
      <c r="B285" t="s">
        <v>2053</v>
      </c>
      <c r="C285" t="s">
        <v>2053</v>
      </c>
      <c r="D285" t="s">
        <v>2053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x14ac:dyDescent="0.25">
      <c r="A286" t="s">
        <v>2160</v>
      </c>
      <c r="B286" t="s">
        <v>2053</v>
      </c>
      <c r="C286" t="s">
        <v>2053</v>
      </c>
      <c r="D286" t="s">
        <v>2053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x14ac:dyDescent="0.25">
      <c r="A287" t="s">
        <v>2161</v>
      </c>
      <c r="B287" t="s">
        <v>2053</v>
      </c>
      <c r="C287" t="s">
        <v>2053</v>
      </c>
      <c r="D287" t="s">
        <v>2053</v>
      </c>
      <c r="E287">
        <v>625000</v>
      </c>
      <c r="F287">
        <v>638000</v>
      </c>
      <c r="G287">
        <v>640000</v>
      </c>
      <c r="H287">
        <v>657000</v>
      </c>
      <c r="I287">
        <v>664000</v>
      </c>
    </row>
    <row r="288" spans="1:9" x14ac:dyDescent="0.25">
      <c r="A288" t="s">
        <v>2162</v>
      </c>
      <c r="B288" t="s">
        <v>2053</v>
      </c>
      <c r="C288" t="s">
        <v>2053</v>
      </c>
      <c r="D288" t="s">
        <v>2053</v>
      </c>
      <c r="E288">
        <v>0</v>
      </c>
      <c r="F288">
        <v>0</v>
      </c>
      <c r="G288">
        <v>0</v>
      </c>
      <c r="H288">
        <v>0</v>
      </c>
      <c r="I288">
        <v>0</v>
      </c>
    </row>
    <row r="291" spans="1:10" x14ac:dyDescent="0.25">
      <c r="A291" s="24" t="s">
        <v>2043</v>
      </c>
      <c r="B291" t="s">
        <v>2044</v>
      </c>
      <c r="C291" t="s">
        <v>2045</v>
      </c>
      <c r="D291" t="s">
        <v>2046</v>
      </c>
      <c r="E291" t="s">
        <v>2047</v>
      </c>
      <c r="F291" t="s">
        <v>2048</v>
      </c>
      <c r="G291" t="s">
        <v>2049</v>
      </c>
      <c r="H291" t="s">
        <v>2050</v>
      </c>
      <c r="I291" t="s">
        <v>2051</v>
      </c>
      <c r="J291" t="s">
        <v>2052</v>
      </c>
    </row>
    <row r="292" spans="1:10" x14ac:dyDescent="0.25">
      <c r="A292" t="s">
        <v>164</v>
      </c>
      <c r="B292" t="s">
        <v>2053</v>
      </c>
      <c r="C292" t="s">
        <v>2053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</row>
    <row r="293" spans="1:10" x14ac:dyDescent="0.25">
      <c r="A293" t="s">
        <v>2020</v>
      </c>
      <c r="B293" t="s">
        <v>2054</v>
      </c>
      <c r="C293" t="s">
        <v>2055</v>
      </c>
      <c r="D293">
        <v>92178</v>
      </c>
      <c r="E293">
        <v>63273</v>
      </c>
      <c r="F293">
        <v>33636.131999999998</v>
      </c>
      <c r="G293">
        <v>34308.854639999998</v>
      </c>
      <c r="H293">
        <v>34308.854639999998</v>
      </c>
      <c r="I293">
        <v>34308.854639999998</v>
      </c>
      <c r="J293">
        <v>34308.854639999998</v>
      </c>
    </row>
    <row r="294" spans="1:10" x14ac:dyDescent="0.25">
      <c r="A294" t="s">
        <v>2021</v>
      </c>
      <c r="B294" t="s">
        <v>2056</v>
      </c>
      <c r="C294" t="s">
        <v>2057</v>
      </c>
      <c r="D294">
        <v>401257</v>
      </c>
      <c r="E294">
        <v>325000</v>
      </c>
      <c r="F294">
        <v>325000</v>
      </c>
      <c r="G294">
        <v>325000</v>
      </c>
      <c r="H294">
        <v>325000</v>
      </c>
      <c r="I294">
        <v>325000</v>
      </c>
      <c r="J294">
        <v>325000</v>
      </c>
    </row>
    <row r="295" spans="1:10" x14ac:dyDescent="0.25">
      <c r="A295" t="s">
        <v>80</v>
      </c>
      <c r="B295" t="s">
        <v>2053</v>
      </c>
      <c r="C295" t="s">
        <v>2053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6" spans="1:10" x14ac:dyDescent="0.25">
      <c r="A296" t="s">
        <v>82</v>
      </c>
      <c r="B296" t="s">
        <v>2053</v>
      </c>
      <c r="C296" t="s">
        <v>2053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</row>
    <row r="297" spans="1:10" x14ac:dyDescent="0.25">
      <c r="A297" t="s">
        <v>83</v>
      </c>
      <c r="B297" t="s">
        <v>2053</v>
      </c>
      <c r="C297" t="s">
        <v>2053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</row>
    <row r="298" spans="1:10" x14ac:dyDescent="0.25">
      <c r="A298" t="s">
        <v>84</v>
      </c>
      <c r="B298" t="s">
        <v>2053</v>
      </c>
      <c r="C298" t="s">
        <v>2053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</row>
    <row r="301" spans="1:10" x14ac:dyDescent="0.25">
      <c r="A301" s="24" t="s">
        <v>2043</v>
      </c>
      <c r="B301" t="s">
        <v>2044</v>
      </c>
      <c r="C301" t="s">
        <v>2045</v>
      </c>
      <c r="D301" t="s">
        <v>2046</v>
      </c>
      <c r="E301" t="s">
        <v>2047</v>
      </c>
      <c r="F301" t="s">
        <v>2048</v>
      </c>
      <c r="G301" t="s">
        <v>2049</v>
      </c>
      <c r="H301" t="s">
        <v>2050</v>
      </c>
      <c r="I301" t="s">
        <v>2051</v>
      </c>
    </row>
    <row r="302" spans="1:10" x14ac:dyDescent="0.25">
      <c r="A302" t="s">
        <v>2058</v>
      </c>
      <c r="B302">
        <v>-5815</v>
      </c>
      <c r="C302">
        <v>5917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</row>
    <row r="305" spans="1:10" x14ac:dyDescent="0.25">
      <c r="A305" s="24" t="s">
        <v>2163</v>
      </c>
      <c r="B305" t="s">
        <v>2044</v>
      </c>
      <c r="C305" t="s">
        <v>2045</v>
      </c>
      <c r="D305" t="s">
        <v>2046</v>
      </c>
      <c r="E305" t="s">
        <v>2047</v>
      </c>
      <c r="F305" t="s">
        <v>2048</v>
      </c>
      <c r="G305" t="s">
        <v>2049</v>
      </c>
      <c r="H305" t="s">
        <v>2050</v>
      </c>
      <c r="I305" t="s">
        <v>2051</v>
      </c>
      <c r="J305" t="s">
        <v>2052</v>
      </c>
    </row>
    <row r="306" spans="1:10" x14ac:dyDescent="0.25">
      <c r="A306" t="s">
        <v>157</v>
      </c>
      <c r="B306" t="s">
        <v>2053</v>
      </c>
      <c r="C306" t="s">
        <v>2053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</row>
    <row r="307" spans="1:10" x14ac:dyDescent="0.25">
      <c r="A307" t="s">
        <v>535</v>
      </c>
      <c r="B307" t="s">
        <v>2164</v>
      </c>
      <c r="C307" t="s">
        <v>2165</v>
      </c>
      <c r="D307">
        <v>307220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11" spans="1:10" x14ac:dyDescent="0.25">
      <c r="A311" s="24" t="s">
        <v>2139</v>
      </c>
      <c r="B311" t="s">
        <v>57</v>
      </c>
      <c r="C311" t="s">
        <v>58</v>
      </c>
      <c r="D311" t="s">
        <v>59</v>
      </c>
      <c r="E311" t="s">
        <v>60</v>
      </c>
      <c r="F311" t="s">
        <v>61</v>
      </c>
      <c r="G311" t="s">
        <v>170</v>
      </c>
      <c r="H311" t="s">
        <v>556</v>
      </c>
      <c r="I311" t="s">
        <v>1839</v>
      </c>
    </row>
    <row r="312" spans="1:10" x14ac:dyDescent="0.25">
      <c r="A312" t="s">
        <v>2140</v>
      </c>
      <c r="B312" t="s">
        <v>2141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10" x14ac:dyDescent="0.25">
      <c r="A313" t="s">
        <v>2142</v>
      </c>
      <c r="B313" t="s">
        <v>2053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10" x14ac:dyDescent="0.25">
      <c r="A314" t="s">
        <v>2143</v>
      </c>
      <c r="B314" t="s">
        <v>2144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</row>
    <row r="316" spans="1:10" x14ac:dyDescent="0.25">
      <c r="A316" s="24">
        <v>0.1</v>
      </c>
      <c r="B316">
        <v>0.1</v>
      </c>
      <c r="C316">
        <v>0.1</v>
      </c>
    </row>
    <row r="317" spans="1:10" x14ac:dyDescent="0.25">
      <c r="A317">
        <v>0.01</v>
      </c>
      <c r="B317">
        <v>0.01</v>
      </c>
      <c r="C317">
        <v>0.09</v>
      </c>
    </row>
    <row r="318" spans="1:10" x14ac:dyDescent="0.25">
      <c r="A318">
        <v>0</v>
      </c>
      <c r="B318">
        <v>0</v>
      </c>
      <c r="C318">
        <v>0</v>
      </c>
    </row>
    <row r="319" spans="1:10" x14ac:dyDescent="0.25">
      <c r="A319">
        <v>0</v>
      </c>
      <c r="B319">
        <v>0</v>
      </c>
      <c r="C319">
        <v>0</v>
      </c>
    </row>
    <row r="320" spans="1:10" x14ac:dyDescent="0.25">
      <c r="A320">
        <v>92944</v>
      </c>
      <c r="B320">
        <v>176634</v>
      </c>
      <c r="C320">
        <v>379557</v>
      </c>
    </row>
    <row r="321" spans="1:3" x14ac:dyDescent="0.25">
      <c r="A321">
        <v>0</v>
      </c>
      <c r="B321">
        <v>0</v>
      </c>
      <c r="C321">
        <v>200000</v>
      </c>
    </row>
    <row r="322" spans="1:3" x14ac:dyDescent="0.25">
      <c r="A322">
        <v>0</v>
      </c>
      <c r="B322">
        <v>0</v>
      </c>
      <c r="C322">
        <v>0</v>
      </c>
    </row>
    <row r="323" spans="1:3" x14ac:dyDescent="0.25">
      <c r="A323">
        <v>5.4</v>
      </c>
      <c r="B323">
        <v>5.4</v>
      </c>
      <c r="C323">
        <v>5.4</v>
      </c>
    </row>
    <row r="324" spans="1:3" x14ac:dyDescent="0.25">
      <c r="A324">
        <v>-0.13262883740288117</v>
      </c>
      <c r="B324">
        <v>-1.8619823833299532E-3</v>
      </c>
      <c r="C324">
        <v>3.4428119671601656E-2</v>
      </c>
    </row>
    <row r="325" spans="1:3" x14ac:dyDescent="0.25">
      <c r="A325">
        <v>0</v>
      </c>
      <c r="B325">
        <v>0.98633975481611214</v>
      </c>
      <c r="C325">
        <v>5.9954152706753659E-2</v>
      </c>
    </row>
    <row r="326" spans="1:3" x14ac:dyDescent="0.25">
      <c r="A326">
        <v>0</v>
      </c>
      <c r="B326">
        <v>1.2623052959501557</v>
      </c>
      <c r="C326">
        <v>-5.480583861195263E-2</v>
      </c>
    </row>
    <row r="327" spans="1:3" x14ac:dyDescent="0.25">
      <c r="A327">
        <v>2667587</v>
      </c>
      <c r="B327">
        <v>2662620</v>
      </c>
      <c r="C327">
        <v>2754289</v>
      </c>
    </row>
    <row r="335" spans="1:3" x14ac:dyDescent="0.25">
      <c r="A335" s="24">
        <v>0</v>
      </c>
      <c r="B335">
        <v>0</v>
      </c>
      <c r="C335">
        <v>0</v>
      </c>
    </row>
    <row r="336" spans="1:3" x14ac:dyDescent="0.25">
      <c r="A336">
        <v>0</v>
      </c>
      <c r="B336">
        <v>0</v>
      </c>
      <c r="C336">
        <v>0</v>
      </c>
    </row>
    <row r="337" spans="1:6" x14ac:dyDescent="0.25">
      <c r="A337">
        <v>200000</v>
      </c>
      <c r="B337">
        <v>100000</v>
      </c>
      <c r="C337">
        <v>100000</v>
      </c>
    </row>
    <row r="338" spans="1:6" x14ac:dyDescent="0.25">
      <c r="A338">
        <v>0</v>
      </c>
      <c r="B338">
        <v>0</v>
      </c>
      <c r="C338">
        <v>0</v>
      </c>
    </row>
    <row r="339" spans="1:6" x14ac:dyDescent="0.25">
      <c r="A339">
        <v>0.33</v>
      </c>
      <c r="B339">
        <v>0.31868999999999997</v>
      </c>
      <c r="C339">
        <v>0.33</v>
      </c>
    </row>
    <row r="340" spans="1:6" x14ac:dyDescent="0.25">
      <c r="A340">
        <v>0</v>
      </c>
      <c r="B340">
        <v>0</v>
      </c>
      <c r="C340">
        <v>0</v>
      </c>
    </row>
    <row r="341" spans="1:6" x14ac:dyDescent="0.25">
      <c r="A341">
        <v>0</v>
      </c>
      <c r="B341">
        <v>0</v>
      </c>
      <c r="C341">
        <v>0</v>
      </c>
    </row>
    <row r="342" spans="1:6" x14ac:dyDescent="0.25">
      <c r="A342">
        <v>0</v>
      </c>
      <c r="B342">
        <v>0</v>
      </c>
      <c r="C342">
        <v>0</v>
      </c>
    </row>
    <row r="343" spans="1:6" x14ac:dyDescent="0.25">
      <c r="A343">
        <v>0</v>
      </c>
      <c r="B343">
        <v>0</v>
      </c>
      <c r="C343">
        <v>0</v>
      </c>
    </row>
    <row r="344" spans="1:6" x14ac:dyDescent="0.25">
      <c r="A344">
        <v>0</v>
      </c>
      <c r="B344">
        <v>0</v>
      </c>
      <c r="C344">
        <v>0</v>
      </c>
    </row>
    <row r="350" spans="1:6" x14ac:dyDescent="0.25">
      <c r="A350" s="24" t="s">
        <v>2175</v>
      </c>
      <c r="B350" t="s">
        <v>540</v>
      </c>
      <c r="C350" t="s">
        <v>541</v>
      </c>
      <c r="D350" t="s">
        <v>542</v>
      </c>
      <c r="E350" t="s">
        <v>1835</v>
      </c>
      <c r="F350" t="s">
        <v>1836</v>
      </c>
    </row>
    <row r="351" spans="1:6" x14ac:dyDescent="0.25">
      <c r="A351" t="s">
        <v>2176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 t="s">
        <v>2177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t="s">
        <v>2178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 t="s">
        <v>2179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 t="s">
        <v>2180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 t="s">
        <v>2181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t="s">
        <v>2182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t="s">
        <v>2183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 t="s">
        <v>2184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 t="s">
        <v>2185</v>
      </c>
      <c r="B360">
        <v>0</v>
      </c>
      <c r="C360">
        <v>0</v>
      </c>
      <c r="D360">
        <v>0</v>
      </c>
      <c r="E360">
        <v>0</v>
      </c>
      <c r="F360">
        <v>0</v>
      </c>
    </row>
    <row r="364" spans="1:6" x14ac:dyDescent="0.25">
      <c r="A364" s="24" t="s">
        <v>2186</v>
      </c>
      <c r="B364" t="s">
        <v>540</v>
      </c>
      <c r="C364" t="s">
        <v>541</v>
      </c>
      <c r="D364" t="s">
        <v>542</v>
      </c>
      <c r="E364" t="s">
        <v>1835</v>
      </c>
      <c r="F364" t="s">
        <v>1836</v>
      </c>
    </row>
    <row r="365" spans="1:6" x14ac:dyDescent="0.25">
      <c r="A365" t="s">
        <v>2187</v>
      </c>
      <c r="B365">
        <v>1</v>
      </c>
      <c r="C365">
        <v>2</v>
      </c>
      <c r="D365">
        <v>2</v>
      </c>
      <c r="E365">
        <v>2</v>
      </c>
      <c r="F365">
        <v>2</v>
      </c>
    </row>
    <row r="366" spans="1:6" x14ac:dyDescent="0.25">
      <c r="A366" t="s">
        <v>2188</v>
      </c>
      <c r="B366">
        <v>7000</v>
      </c>
      <c r="C366">
        <v>7500</v>
      </c>
      <c r="D366">
        <v>8000</v>
      </c>
      <c r="E366">
        <v>8000</v>
      </c>
      <c r="F366">
        <v>8000</v>
      </c>
    </row>
    <row r="500" spans="1:23" x14ac:dyDescent="0.25">
      <c r="B500" t="s">
        <v>57</v>
      </c>
      <c r="E500" t="s">
        <v>58</v>
      </c>
      <c r="H500" t="s">
        <v>59</v>
      </c>
      <c r="K500" t="s">
        <v>60</v>
      </c>
      <c r="N500" t="s">
        <v>61</v>
      </c>
      <c r="Q500" t="s">
        <v>170</v>
      </c>
      <c r="T500" t="s">
        <v>556</v>
      </c>
      <c r="W500" t="s">
        <v>1839</v>
      </c>
    </row>
    <row r="501" spans="1:23" x14ac:dyDescent="0.25">
      <c r="A501" s="400" t="s">
        <v>1431</v>
      </c>
      <c r="B501" s="24">
        <v>546.5</v>
      </c>
      <c r="D501" t="s">
        <v>1431</v>
      </c>
      <c r="E501" s="24">
        <v>528.9</v>
      </c>
      <c r="G501" t="s">
        <v>1431</v>
      </c>
      <c r="H501" s="24">
        <v>516.6</v>
      </c>
      <c r="J501" t="s">
        <v>1431</v>
      </c>
      <c r="K501" s="24">
        <v>505.9</v>
      </c>
      <c r="M501" t="s">
        <v>1431</v>
      </c>
      <c r="N501" s="24">
        <v>490.9</v>
      </c>
      <c r="P501" t="s">
        <v>1431</v>
      </c>
      <c r="Q501" s="24">
        <v>475.9</v>
      </c>
      <c r="S501" t="s">
        <v>1431</v>
      </c>
      <c r="T501" s="24">
        <v>465.9</v>
      </c>
      <c r="V501" t="s">
        <v>1431</v>
      </c>
      <c r="W501" s="24">
        <v>460.9</v>
      </c>
    </row>
    <row r="502" spans="1:23" x14ac:dyDescent="0.25">
      <c r="A502" s="400" t="s">
        <v>1432</v>
      </c>
      <c r="B502">
        <v>0.92</v>
      </c>
      <c r="D502" t="s">
        <v>1432</v>
      </c>
      <c r="E502">
        <v>0</v>
      </c>
      <c r="G502" t="s">
        <v>1432</v>
      </c>
      <c r="H502">
        <v>0</v>
      </c>
      <c r="J502" t="s">
        <v>1432</v>
      </c>
      <c r="K502">
        <v>0</v>
      </c>
      <c r="M502" t="s">
        <v>1432</v>
      </c>
      <c r="N502">
        <v>0</v>
      </c>
      <c r="P502" t="s">
        <v>1432</v>
      </c>
      <c r="Q502">
        <v>0</v>
      </c>
      <c r="S502" t="s">
        <v>1432</v>
      </c>
      <c r="T502">
        <v>0</v>
      </c>
      <c r="V502" t="s">
        <v>1432</v>
      </c>
      <c r="W502">
        <v>0</v>
      </c>
    </row>
    <row r="503" spans="1:23" x14ac:dyDescent="0.25">
      <c r="A503" s="400" t="s">
        <v>1433</v>
      </c>
      <c r="B503">
        <v>6431</v>
      </c>
      <c r="D503" t="s">
        <v>1433</v>
      </c>
      <c r="E503">
        <v>6511</v>
      </c>
      <c r="G503" t="s">
        <v>1433</v>
      </c>
      <c r="H503">
        <v>6656</v>
      </c>
      <c r="J503" t="s">
        <v>1433</v>
      </c>
      <c r="K503">
        <v>6729</v>
      </c>
      <c r="M503" t="s">
        <v>1433</v>
      </c>
      <c r="N503">
        <v>6796</v>
      </c>
      <c r="P503" t="s">
        <v>1433</v>
      </c>
      <c r="Q503">
        <v>6863</v>
      </c>
      <c r="S503" t="s">
        <v>1433</v>
      </c>
      <c r="T503">
        <v>6931</v>
      </c>
      <c r="V503" t="s">
        <v>1433</v>
      </c>
      <c r="W503">
        <v>7000</v>
      </c>
    </row>
    <row r="504" spans="1:23" x14ac:dyDescent="0.25">
      <c r="A504" s="400" t="s">
        <v>1434</v>
      </c>
      <c r="B504">
        <v>5917</v>
      </c>
      <c r="D504" t="s">
        <v>1434</v>
      </c>
      <c r="E504">
        <v>0</v>
      </c>
      <c r="G504" t="s">
        <v>1434</v>
      </c>
      <c r="H504">
        <v>0</v>
      </c>
      <c r="J504" t="s">
        <v>1434</v>
      </c>
      <c r="K504">
        <v>0</v>
      </c>
      <c r="M504" t="s">
        <v>1434</v>
      </c>
      <c r="N504">
        <v>0</v>
      </c>
      <c r="P504" t="s">
        <v>1434</v>
      </c>
      <c r="Q504">
        <v>0</v>
      </c>
      <c r="S504" t="s">
        <v>1434</v>
      </c>
      <c r="T504">
        <v>0</v>
      </c>
      <c r="V504" t="s">
        <v>1434</v>
      </c>
      <c r="W504">
        <v>0</v>
      </c>
    </row>
    <row r="505" spans="1:23" x14ac:dyDescent="0.25">
      <c r="A505" s="400" t="s">
        <v>1435</v>
      </c>
      <c r="B505">
        <v>5570</v>
      </c>
      <c r="D505" t="s">
        <v>1435</v>
      </c>
      <c r="E505">
        <v>5640</v>
      </c>
      <c r="G505" t="s">
        <v>1435</v>
      </c>
      <c r="H505">
        <v>5767</v>
      </c>
      <c r="J505" t="s">
        <v>1435</v>
      </c>
      <c r="K505">
        <v>5831</v>
      </c>
      <c r="M505" t="s">
        <v>1435</v>
      </c>
      <c r="N505">
        <v>5890</v>
      </c>
      <c r="P505" t="s">
        <v>1435</v>
      </c>
      <c r="Q505">
        <v>5948</v>
      </c>
      <c r="S505" t="s">
        <v>1435</v>
      </c>
      <c r="T505">
        <v>6008</v>
      </c>
      <c r="V505" t="s">
        <v>1435</v>
      </c>
      <c r="W505">
        <v>6068</v>
      </c>
    </row>
    <row r="506" spans="1:23" x14ac:dyDescent="0.25">
      <c r="A506" s="400" t="s">
        <v>1436</v>
      </c>
      <c r="B506">
        <v>0.92</v>
      </c>
      <c r="D506" t="s">
        <v>1436</v>
      </c>
      <c r="E506">
        <v>0</v>
      </c>
      <c r="G506" t="s">
        <v>1436</v>
      </c>
      <c r="H506">
        <v>0</v>
      </c>
      <c r="J506" t="s">
        <v>1436</v>
      </c>
      <c r="K506">
        <v>0</v>
      </c>
      <c r="M506" t="s">
        <v>1436</v>
      </c>
      <c r="N506">
        <v>0</v>
      </c>
      <c r="P506" t="s">
        <v>1436</v>
      </c>
      <c r="Q506">
        <v>0</v>
      </c>
      <c r="S506" t="s">
        <v>1436</v>
      </c>
      <c r="T506">
        <v>0</v>
      </c>
      <c r="V506" t="s">
        <v>1436</v>
      </c>
      <c r="W506">
        <v>0</v>
      </c>
    </row>
    <row r="507" spans="1:23" x14ac:dyDescent="0.25">
      <c r="A507" s="400" t="s">
        <v>1437</v>
      </c>
      <c r="B507">
        <v>5124</v>
      </c>
      <c r="D507" t="s">
        <v>1437</v>
      </c>
      <c r="E507">
        <v>0</v>
      </c>
      <c r="G507" t="s">
        <v>1437</v>
      </c>
      <c r="H507">
        <v>0</v>
      </c>
      <c r="J507" t="s">
        <v>1437</v>
      </c>
      <c r="K507">
        <v>0</v>
      </c>
      <c r="M507" t="s">
        <v>1437</v>
      </c>
      <c r="N507">
        <v>0</v>
      </c>
      <c r="P507" t="s">
        <v>1437</v>
      </c>
      <c r="Q507">
        <v>0</v>
      </c>
      <c r="S507" t="s">
        <v>1437</v>
      </c>
      <c r="T507">
        <v>0</v>
      </c>
      <c r="V507" t="s">
        <v>1437</v>
      </c>
      <c r="W507">
        <v>0</v>
      </c>
    </row>
    <row r="508" spans="1:23" x14ac:dyDescent="0.25">
      <c r="A508" s="400"/>
      <c r="B508">
        <v>0</v>
      </c>
      <c r="E508">
        <v>0</v>
      </c>
      <c r="H508">
        <v>0</v>
      </c>
      <c r="K508">
        <v>0</v>
      </c>
      <c r="N508">
        <v>0</v>
      </c>
      <c r="Q508">
        <v>0</v>
      </c>
      <c r="T508">
        <v>0</v>
      </c>
      <c r="W508">
        <v>0</v>
      </c>
    </row>
    <row r="509" spans="1:23" x14ac:dyDescent="0.25">
      <c r="A509" s="400" t="s">
        <v>1438</v>
      </c>
      <c r="B509">
        <v>6431</v>
      </c>
      <c r="D509" t="s">
        <v>1438</v>
      </c>
      <c r="E509">
        <v>6511</v>
      </c>
      <c r="G509" t="s">
        <v>1438</v>
      </c>
      <c r="H509">
        <v>6656</v>
      </c>
      <c r="J509" t="s">
        <v>1438</v>
      </c>
      <c r="K509">
        <v>6729</v>
      </c>
      <c r="M509" t="s">
        <v>1438</v>
      </c>
      <c r="N509">
        <v>6796</v>
      </c>
      <c r="P509" t="s">
        <v>1438</v>
      </c>
      <c r="Q509">
        <v>6863</v>
      </c>
      <c r="S509" t="s">
        <v>1438</v>
      </c>
      <c r="T509">
        <v>6931</v>
      </c>
      <c r="V509" t="s">
        <v>1438</v>
      </c>
      <c r="W509">
        <v>7000</v>
      </c>
    </row>
    <row r="510" spans="1:23" x14ac:dyDescent="0.25">
      <c r="A510" s="400" t="s">
        <v>1439</v>
      </c>
      <c r="B510">
        <v>80</v>
      </c>
      <c r="D510" t="s">
        <v>1439</v>
      </c>
      <c r="E510">
        <v>145</v>
      </c>
      <c r="G510" t="s">
        <v>1439</v>
      </c>
      <c r="H510">
        <v>73</v>
      </c>
      <c r="J510" t="s">
        <v>1439</v>
      </c>
      <c r="K510">
        <v>67</v>
      </c>
      <c r="M510" t="s">
        <v>1439</v>
      </c>
      <c r="N510">
        <v>67</v>
      </c>
      <c r="P510" t="s">
        <v>1439</v>
      </c>
      <c r="Q510">
        <v>68</v>
      </c>
      <c r="S510" t="s">
        <v>1439</v>
      </c>
      <c r="T510">
        <v>69</v>
      </c>
      <c r="V510" t="s">
        <v>1439</v>
      </c>
      <c r="W510">
        <v>69</v>
      </c>
    </row>
    <row r="511" spans="1:23" x14ac:dyDescent="0.25">
      <c r="A511" s="400" t="s">
        <v>1440</v>
      </c>
      <c r="B511">
        <v>6511</v>
      </c>
      <c r="D511" t="s">
        <v>1440</v>
      </c>
      <c r="E511">
        <v>6656</v>
      </c>
      <c r="G511" t="s">
        <v>1440</v>
      </c>
      <c r="H511">
        <v>6729</v>
      </c>
      <c r="J511" t="s">
        <v>1440</v>
      </c>
      <c r="K511">
        <v>6796</v>
      </c>
      <c r="M511" t="s">
        <v>1440</v>
      </c>
      <c r="N511">
        <v>6863</v>
      </c>
      <c r="P511" t="s">
        <v>1440</v>
      </c>
      <c r="Q511">
        <v>6931</v>
      </c>
      <c r="S511" t="s">
        <v>1440</v>
      </c>
      <c r="T511">
        <v>7000</v>
      </c>
      <c r="V511" t="s">
        <v>1440</v>
      </c>
      <c r="W511">
        <v>7069</v>
      </c>
    </row>
    <row r="512" spans="1:23" x14ac:dyDescent="0.25">
      <c r="A512" s="400" t="s">
        <v>1441</v>
      </c>
      <c r="B512">
        <v>537.38</v>
      </c>
      <c r="D512" t="s">
        <v>1441</v>
      </c>
      <c r="E512">
        <v>544.24</v>
      </c>
      <c r="G512" t="s">
        <v>1441</v>
      </c>
      <c r="H512">
        <v>556.74</v>
      </c>
      <c r="J512" t="s">
        <v>1441</v>
      </c>
      <c r="K512">
        <v>563.04</v>
      </c>
      <c r="M512" t="s">
        <v>1441</v>
      </c>
      <c r="N512">
        <v>568.78</v>
      </c>
      <c r="P512" t="s">
        <v>1441</v>
      </c>
      <c r="Q512">
        <v>574.58000000000004</v>
      </c>
      <c r="S512" t="s">
        <v>1441</v>
      </c>
      <c r="T512">
        <v>580.44000000000005</v>
      </c>
      <c r="V512" t="s">
        <v>1441</v>
      </c>
      <c r="W512">
        <v>586.36</v>
      </c>
    </row>
    <row r="513" spans="1:23" x14ac:dyDescent="0.25">
      <c r="A513" s="400" t="s">
        <v>1442</v>
      </c>
      <c r="B513">
        <v>6.86</v>
      </c>
      <c r="D513" t="s">
        <v>1442</v>
      </c>
      <c r="E513">
        <v>12.5</v>
      </c>
      <c r="G513" t="s">
        <v>1442</v>
      </c>
      <c r="H513">
        <v>6.3</v>
      </c>
      <c r="J513" t="s">
        <v>1442</v>
      </c>
      <c r="K513">
        <v>5.74</v>
      </c>
      <c r="M513" t="s">
        <v>1442</v>
      </c>
      <c r="N513">
        <v>5.8</v>
      </c>
      <c r="P513" t="s">
        <v>1442</v>
      </c>
      <c r="Q513">
        <v>5.86</v>
      </c>
      <c r="S513" t="s">
        <v>1442</v>
      </c>
      <c r="T513">
        <v>5.92</v>
      </c>
      <c r="V513" t="s">
        <v>1442</v>
      </c>
      <c r="W513">
        <v>5.98</v>
      </c>
    </row>
    <row r="514" spans="1:23" x14ac:dyDescent="0.25">
      <c r="A514" s="400" t="s">
        <v>1443</v>
      </c>
      <c r="B514">
        <v>544.24</v>
      </c>
      <c r="D514" t="s">
        <v>1443</v>
      </c>
      <c r="E514">
        <v>556.74</v>
      </c>
      <c r="G514" t="s">
        <v>1443</v>
      </c>
      <c r="H514">
        <v>563.04</v>
      </c>
      <c r="J514" t="s">
        <v>1443</v>
      </c>
      <c r="K514">
        <v>568.78</v>
      </c>
      <c r="M514" t="s">
        <v>1443</v>
      </c>
      <c r="N514">
        <v>574.58000000000004</v>
      </c>
      <c r="P514" t="s">
        <v>1443</v>
      </c>
      <c r="Q514">
        <v>580.44000000000005</v>
      </c>
      <c r="S514" t="s">
        <v>1443</v>
      </c>
      <c r="T514">
        <v>586.36</v>
      </c>
      <c r="V514" t="s">
        <v>1443</v>
      </c>
      <c r="W514">
        <v>592.34</v>
      </c>
    </row>
    <row r="515" spans="1:23" x14ac:dyDescent="0.25">
      <c r="A515" s="400" t="s">
        <v>1444</v>
      </c>
      <c r="B515">
        <v>55.62</v>
      </c>
      <c r="D515" t="s">
        <v>1444</v>
      </c>
      <c r="E515">
        <v>56.4</v>
      </c>
      <c r="G515" t="s">
        <v>1444</v>
      </c>
      <c r="H515">
        <v>57.82</v>
      </c>
      <c r="J515" t="s">
        <v>1444</v>
      </c>
      <c r="K515">
        <v>58.53</v>
      </c>
      <c r="M515" t="s">
        <v>1444</v>
      </c>
      <c r="N515">
        <v>59.18</v>
      </c>
      <c r="P515" t="s">
        <v>1444</v>
      </c>
      <c r="Q515">
        <v>59.84</v>
      </c>
      <c r="S515" t="s">
        <v>1444</v>
      </c>
      <c r="T515">
        <v>60.5</v>
      </c>
      <c r="V515" t="s">
        <v>1444</v>
      </c>
      <c r="W515">
        <v>61.17</v>
      </c>
    </row>
    <row r="516" spans="1:23" x14ac:dyDescent="0.25">
      <c r="A516" s="400" t="s">
        <v>1445</v>
      </c>
      <c r="B516">
        <v>0.78</v>
      </c>
      <c r="D516" t="s">
        <v>1445</v>
      </c>
      <c r="E516">
        <v>1.42</v>
      </c>
      <c r="G516" t="s">
        <v>1445</v>
      </c>
      <c r="H516">
        <v>0.71</v>
      </c>
      <c r="J516" t="s">
        <v>1445</v>
      </c>
      <c r="K516">
        <v>0.65</v>
      </c>
      <c r="M516" t="s">
        <v>1445</v>
      </c>
      <c r="N516">
        <v>0.66</v>
      </c>
      <c r="P516" t="s">
        <v>1445</v>
      </c>
      <c r="Q516">
        <v>0.66</v>
      </c>
      <c r="S516" t="s">
        <v>1445</v>
      </c>
      <c r="T516">
        <v>0.67</v>
      </c>
      <c r="V516" t="s">
        <v>1445</v>
      </c>
      <c r="W516">
        <v>0.68</v>
      </c>
    </row>
    <row r="517" spans="1:23" x14ac:dyDescent="0.25">
      <c r="A517" s="400" t="s">
        <v>1446</v>
      </c>
      <c r="B517">
        <v>56.4</v>
      </c>
      <c r="D517" t="s">
        <v>1446</v>
      </c>
      <c r="E517">
        <v>57.82</v>
      </c>
      <c r="G517" t="s">
        <v>1446</v>
      </c>
      <c r="H517">
        <v>58.53</v>
      </c>
      <c r="J517" t="s">
        <v>1446</v>
      </c>
      <c r="K517">
        <v>59.18</v>
      </c>
      <c r="M517" t="s">
        <v>1446</v>
      </c>
      <c r="N517">
        <v>59.84</v>
      </c>
      <c r="P517" t="s">
        <v>1446</v>
      </c>
      <c r="Q517">
        <v>60.5</v>
      </c>
      <c r="S517" t="s">
        <v>1446</v>
      </c>
      <c r="T517">
        <v>61.17</v>
      </c>
      <c r="V517" t="s">
        <v>1446</v>
      </c>
      <c r="W517">
        <v>61.85</v>
      </c>
    </row>
    <row r="518" spans="1:23" x14ac:dyDescent="0.25">
      <c r="A518" s="400" t="s">
        <v>1447</v>
      </c>
      <c r="B518">
        <v>55.88</v>
      </c>
      <c r="D518" t="s">
        <v>1447</v>
      </c>
      <c r="E518">
        <v>56.73</v>
      </c>
      <c r="G518" t="s">
        <v>1447</v>
      </c>
      <c r="H518">
        <v>58.27</v>
      </c>
      <c r="J518" t="s">
        <v>1447</v>
      </c>
      <c r="K518">
        <v>59.05</v>
      </c>
      <c r="M518" t="s">
        <v>1447</v>
      </c>
      <c r="N518">
        <v>59.76</v>
      </c>
      <c r="P518" t="s">
        <v>1447</v>
      </c>
      <c r="Q518">
        <v>60.48</v>
      </c>
      <c r="S518" t="s">
        <v>1447</v>
      </c>
      <c r="T518">
        <v>61.2</v>
      </c>
      <c r="V518" t="s">
        <v>1447</v>
      </c>
      <c r="W518">
        <v>61.93</v>
      </c>
    </row>
    <row r="519" spans="1:23" x14ac:dyDescent="0.25">
      <c r="A519" s="400" t="s">
        <v>1448</v>
      </c>
      <c r="B519">
        <v>0.85</v>
      </c>
      <c r="D519" t="s">
        <v>1448</v>
      </c>
      <c r="E519">
        <v>1.54</v>
      </c>
      <c r="G519" t="s">
        <v>1448</v>
      </c>
      <c r="H519">
        <v>0.78</v>
      </c>
      <c r="J519" t="s">
        <v>1448</v>
      </c>
      <c r="K519">
        <v>0.71</v>
      </c>
      <c r="M519" t="s">
        <v>1448</v>
      </c>
      <c r="N519">
        <v>0.72</v>
      </c>
      <c r="P519" t="s">
        <v>1448</v>
      </c>
      <c r="Q519">
        <v>0.72</v>
      </c>
      <c r="S519" t="s">
        <v>1448</v>
      </c>
      <c r="T519">
        <v>0.73</v>
      </c>
      <c r="V519" t="s">
        <v>1448</v>
      </c>
      <c r="W519">
        <v>0.74</v>
      </c>
    </row>
    <row r="520" spans="1:23" x14ac:dyDescent="0.25">
      <c r="A520" s="400" t="s">
        <v>1449</v>
      </c>
      <c r="B520">
        <v>56.730000000000004</v>
      </c>
      <c r="D520" t="s">
        <v>1449</v>
      </c>
      <c r="E520">
        <v>58.269999999999996</v>
      </c>
      <c r="G520" t="s">
        <v>1449</v>
      </c>
      <c r="H520">
        <v>59.050000000000004</v>
      </c>
      <c r="J520" t="s">
        <v>1449</v>
      </c>
      <c r="K520">
        <v>59.76</v>
      </c>
      <c r="M520" t="s">
        <v>1449</v>
      </c>
      <c r="N520">
        <v>60.48</v>
      </c>
      <c r="P520" t="s">
        <v>1449</v>
      </c>
      <c r="Q520">
        <v>61.2</v>
      </c>
      <c r="S520" t="s">
        <v>1449</v>
      </c>
      <c r="T520">
        <v>61.93</v>
      </c>
      <c r="V520" t="s">
        <v>1449</v>
      </c>
      <c r="W520">
        <v>62.67</v>
      </c>
    </row>
    <row r="521" spans="1:23" x14ac:dyDescent="0.25">
      <c r="A521" s="400" t="s">
        <v>1450</v>
      </c>
      <c r="B521">
        <v>308.82</v>
      </c>
      <c r="D521" t="s">
        <v>1450</v>
      </c>
      <c r="E521">
        <v>312.68</v>
      </c>
      <c r="G521" t="s">
        <v>1450</v>
      </c>
      <c r="H521">
        <v>319.72000000000003</v>
      </c>
      <c r="J521" t="s">
        <v>1450</v>
      </c>
      <c r="K521">
        <v>323.27</v>
      </c>
      <c r="M521" t="s">
        <v>1450</v>
      </c>
      <c r="N521">
        <v>326.5</v>
      </c>
      <c r="P521" t="s">
        <v>1450</v>
      </c>
      <c r="Q521">
        <v>329.77</v>
      </c>
      <c r="S521" t="s">
        <v>1450</v>
      </c>
      <c r="T521">
        <v>333.07</v>
      </c>
      <c r="V521" t="s">
        <v>1450</v>
      </c>
      <c r="W521">
        <v>336.4</v>
      </c>
    </row>
    <row r="522" spans="1:23" x14ac:dyDescent="0.25">
      <c r="A522" s="400" t="s">
        <v>1451</v>
      </c>
      <c r="B522">
        <v>3.86</v>
      </c>
      <c r="D522" t="s">
        <v>1451</v>
      </c>
      <c r="E522">
        <v>7.04</v>
      </c>
      <c r="G522" t="s">
        <v>1451</v>
      </c>
      <c r="H522">
        <v>3.55</v>
      </c>
      <c r="J522" t="s">
        <v>1451</v>
      </c>
      <c r="K522">
        <v>3.23</v>
      </c>
      <c r="M522" t="s">
        <v>1451</v>
      </c>
      <c r="N522">
        <v>3.27</v>
      </c>
      <c r="P522" t="s">
        <v>1451</v>
      </c>
      <c r="Q522">
        <v>3.3</v>
      </c>
      <c r="S522" t="s">
        <v>1451</v>
      </c>
      <c r="T522">
        <v>3.33</v>
      </c>
      <c r="V522" t="s">
        <v>1451</v>
      </c>
      <c r="W522">
        <v>3.36</v>
      </c>
    </row>
    <row r="523" spans="1:23" x14ac:dyDescent="0.25">
      <c r="A523" s="400" t="s">
        <v>1452</v>
      </c>
      <c r="B523">
        <v>312.68</v>
      </c>
      <c r="D523" t="s">
        <v>1452</v>
      </c>
      <c r="E523">
        <v>319.72000000000003</v>
      </c>
      <c r="G523" t="s">
        <v>1452</v>
      </c>
      <c r="H523">
        <v>323.27000000000004</v>
      </c>
      <c r="J523" t="s">
        <v>1452</v>
      </c>
      <c r="K523">
        <v>326.5</v>
      </c>
      <c r="M523" t="s">
        <v>1452</v>
      </c>
      <c r="N523">
        <v>329.77</v>
      </c>
      <c r="P523" t="s">
        <v>1452</v>
      </c>
      <c r="Q523">
        <v>333.07</v>
      </c>
      <c r="S523" t="s">
        <v>1452</v>
      </c>
      <c r="T523">
        <v>336.4</v>
      </c>
      <c r="V523" t="s">
        <v>1452</v>
      </c>
      <c r="W523">
        <v>339.76</v>
      </c>
    </row>
    <row r="524" spans="1:23" x14ac:dyDescent="0.25">
      <c r="A524" s="400"/>
      <c r="B524">
        <v>0</v>
      </c>
      <c r="E524">
        <v>0</v>
      </c>
      <c r="H524">
        <v>0</v>
      </c>
      <c r="K524">
        <v>0</v>
      </c>
      <c r="N524">
        <v>0</v>
      </c>
      <c r="Q524">
        <v>0</v>
      </c>
      <c r="T524">
        <v>0</v>
      </c>
      <c r="W524">
        <v>0</v>
      </c>
    </row>
    <row r="525" spans="1:23" x14ac:dyDescent="0.25">
      <c r="A525" s="400" t="s">
        <v>1453</v>
      </c>
      <c r="B525">
        <v>32.4</v>
      </c>
      <c r="D525" t="s">
        <v>1453</v>
      </c>
      <c r="E525">
        <v>37.44</v>
      </c>
      <c r="G525" t="s">
        <v>1453</v>
      </c>
      <c r="H525">
        <v>38.880000000000003</v>
      </c>
      <c r="J525" t="s">
        <v>1453</v>
      </c>
      <c r="K525">
        <v>38.880000000000003</v>
      </c>
      <c r="M525" t="s">
        <v>1453</v>
      </c>
      <c r="N525">
        <v>38.880000000000003</v>
      </c>
      <c r="P525" t="s">
        <v>1453</v>
      </c>
      <c r="Q525">
        <v>38.880000000000003</v>
      </c>
      <c r="S525" t="s">
        <v>1453</v>
      </c>
      <c r="T525">
        <v>38.880000000000003</v>
      </c>
      <c r="V525" t="s">
        <v>1453</v>
      </c>
      <c r="W525">
        <v>38.880000000000003</v>
      </c>
    </row>
    <row r="526" spans="1:23" x14ac:dyDescent="0.25">
      <c r="A526" s="400" t="s">
        <v>1454</v>
      </c>
      <c r="B526">
        <v>19.36</v>
      </c>
      <c r="D526" t="s">
        <v>1454</v>
      </c>
      <c r="E526">
        <v>12.1</v>
      </c>
      <c r="G526" t="s">
        <v>1454</v>
      </c>
      <c r="H526">
        <v>14.52</v>
      </c>
      <c r="J526" t="s">
        <v>1454</v>
      </c>
      <c r="K526">
        <v>14.52</v>
      </c>
      <c r="M526" t="s">
        <v>1454</v>
      </c>
      <c r="N526">
        <v>14.52</v>
      </c>
      <c r="P526" t="s">
        <v>1454</v>
      </c>
      <c r="Q526">
        <v>14.52</v>
      </c>
      <c r="S526" t="s">
        <v>1454</v>
      </c>
      <c r="T526">
        <v>14.52</v>
      </c>
      <c r="V526" t="s">
        <v>1454</v>
      </c>
      <c r="W526">
        <v>14.52</v>
      </c>
    </row>
    <row r="527" spans="1:23" x14ac:dyDescent="0.25">
      <c r="A527" s="400" t="s">
        <v>1455</v>
      </c>
      <c r="B527">
        <v>10.96</v>
      </c>
      <c r="D527" t="s">
        <v>1455</v>
      </c>
      <c r="E527">
        <v>13.7</v>
      </c>
      <c r="G527" t="s">
        <v>1455</v>
      </c>
      <c r="H527">
        <v>27.4</v>
      </c>
      <c r="J527" t="s">
        <v>1455</v>
      </c>
      <c r="K527">
        <v>27.4</v>
      </c>
      <c r="M527" t="s">
        <v>1455</v>
      </c>
      <c r="N527">
        <v>27.4</v>
      </c>
      <c r="P527" t="s">
        <v>1455</v>
      </c>
      <c r="Q527">
        <v>27.4</v>
      </c>
      <c r="S527" t="s">
        <v>1455</v>
      </c>
      <c r="T527">
        <v>27.4</v>
      </c>
      <c r="V527" t="s">
        <v>1455</v>
      </c>
      <c r="W527">
        <v>27.4</v>
      </c>
    </row>
    <row r="528" spans="1:23" x14ac:dyDescent="0.25">
      <c r="A528" s="400" t="s">
        <v>1456</v>
      </c>
      <c r="B528">
        <v>62.72</v>
      </c>
      <c r="D528" t="s">
        <v>1456</v>
      </c>
      <c r="E528">
        <v>63.239999999999995</v>
      </c>
      <c r="G528" t="s">
        <v>1456</v>
      </c>
      <c r="H528">
        <v>80.800000000000011</v>
      </c>
      <c r="J528" t="s">
        <v>1456</v>
      </c>
      <c r="K528">
        <v>80.8</v>
      </c>
      <c r="M528" t="s">
        <v>1456</v>
      </c>
      <c r="N528">
        <v>80.8</v>
      </c>
      <c r="P528" t="s">
        <v>1456</v>
      </c>
      <c r="Q528">
        <v>80.8</v>
      </c>
      <c r="S528" t="s">
        <v>1456</v>
      </c>
      <c r="T528">
        <v>80.8</v>
      </c>
      <c r="V528" t="s">
        <v>1456</v>
      </c>
      <c r="W528">
        <v>80.8</v>
      </c>
    </row>
    <row r="529" spans="1:23" x14ac:dyDescent="0.25">
      <c r="A529" s="400" t="s">
        <v>1457</v>
      </c>
      <c r="B529">
        <v>546.5</v>
      </c>
      <c r="D529" t="s">
        <v>1457</v>
      </c>
      <c r="E529">
        <v>528.9</v>
      </c>
      <c r="G529" t="s">
        <v>1457</v>
      </c>
      <c r="H529">
        <v>516.6</v>
      </c>
      <c r="J529" t="s">
        <v>1457</v>
      </c>
      <c r="K529">
        <v>505.9</v>
      </c>
      <c r="M529" t="s">
        <v>1457</v>
      </c>
      <c r="N529">
        <v>490.9</v>
      </c>
      <c r="P529" t="s">
        <v>1457</v>
      </c>
      <c r="Q529">
        <v>475.9</v>
      </c>
      <c r="S529" t="s">
        <v>1457</v>
      </c>
      <c r="T529">
        <v>465.9</v>
      </c>
      <c r="V529" t="s">
        <v>1457</v>
      </c>
      <c r="W529">
        <v>460.9</v>
      </c>
    </row>
    <row r="530" spans="1:23" x14ac:dyDescent="0.25">
      <c r="A530" s="400" t="s">
        <v>1458</v>
      </c>
      <c r="B530">
        <v>609.22</v>
      </c>
      <c r="D530" t="s">
        <v>1458</v>
      </c>
      <c r="E530">
        <v>592.14</v>
      </c>
      <c r="G530" t="s">
        <v>1458</v>
      </c>
      <c r="H530">
        <v>597.40000000000009</v>
      </c>
      <c r="J530" t="s">
        <v>1458</v>
      </c>
      <c r="K530">
        <v>586.70000000000005</v>
      </c>
      <c r="M530" t="s">
        <v>1458</v>
      </c>
      <c r="N530">
        <v>571.70000000000005</v>
      </c>
      <c r="P530" t="s">
        <v>1458</v>
      </c>
      <c r="Q530">
        <v>556.70000000000005</v>
      </c>
      <c r="S530" t="s">
        <v>1458</v>
      </c>
      <c r="T530">
        <v>546.70000000000005</v>
      </c>
      <c r="V530" t="s">
        <v>1458</v>
      </c>
      <c r="W530">
        <v>541.70000000000005</v>
      </c>
    </row>
    <row r="531" spans="1:23" x14ac:dyDescent="0.25">
      <c r="A531" s="400" t="s">
        <v>1459</v>
      </c>
      <c r="B531">
        <v>0</v>
      </c>
      <c r="D531" t="s">
        <v>1459</v>
      </c>
      <c r="E531">
        <v>0</v>
      </c>
      <c r="G531" t="s">
        <v>1459</v>
      </c>
      <c r="H531">
        <v>0</v>
      </c>
      <c r="J531" t="s">
        <v>1459</v>
      </c>
      <c r="K531">
        <v>0</v>
      </c>
      <c r="M531" t="s">
        <v>1459</v>
      </c>
      <c r="N531">
        <v>0</v>
      </c>
      <c r="P531" t="s">
        <v>1459</v>
      </c>
      <c r="Q531">
        <v>0</v>
      </c>
      <c r="S531" t="s">
        <v>1459</v>
      </c>
      <c r="T531">
        <v>0</v>
      </c>
      <c r="V531" t="s">
        <v>1459</v>
      </c>
      <c r="W531">
        <v>0</v>
      </c>
    </row>
    <row r="532" spans="1:23" x14ac:dyDescent="0.25">
      <c r="A532" s="400" t="s">
        <v>1460</v>
      </c>
      <c r="B532">
        <v>609.22</v>
      </c>
      <c r="D532" t="s">
        <v>1460</v>
      </c>
      <c r="E532">
        <v>592.14</v>
      </c>
      <c r="G532" t="s">
        <v>1460</v>
      </c>
      <c r="H532">
        <v>597.40000000000009</v>
      </c>
      <c r="J532" t="s">
        <v>1460</v>
      </c>
      <c r="K532">
        <v>586.70000000000005</v>
      </c>
      <c r="M532" t="s">
        <v>1460</v>
      </c>
      <c r="N532">
        <v>571.70000000000005</v>
      </c>
      <c r="P532" t="s">
        <v>1460</v>
      </c>
      <c r="Q532">
        <v>556.70000000000005</v>
      </c>
      <c r="S532" t="s">
        <v>1460</v>
      </c>
      <c r="T532">
        <v>546.70000000000005</v>
      </c>
      <c r="V532" t="s">
        <v>1460</v>
      </c>
      <c r="W532">
        <v>541.70000000000005</v>
      </c>
    </row>
    <row r="533" spans="1:23" x14ac:dyDescent="0.25">
      <c r="A533" s="400" t="s">
        <v>1461</v>
      </c>
      <c r="B533">
        <v>14.95</v>
      </c>
      <c r="D533" t="s">
        <v>1461</v>
      </c>
      <c r="E533">
        <v>14.74</v>
      </c>
      <c r="G533" t="s">
        <v>1461</v>
      </c>
      <c r="H533">
        <v>27.58</v>
      </c>
      <c r="J533" t="s">
        <v>1461</v>
      </c>
      <c r="K533">
        <v>27.58</v>
      </c>
      <c r="M533" t="s">
        <v>1461</v>
      </c>
      <c r="N533">
        <v>27.58</v>
      </c>
      <c r="P533" t="s">
        <v>1461</v>
      </c>
      <c r="Q533">
        <v>27.58</v>
      </c>
      <c r="S533" t="s">
        <v>1461</v>
      </c>
      <c r="T533">
        <v>27.58</v>
      </c>
      <c r="V533" t="s">
        <v>1461</v>
      </c>
      <c r="W533">
        <v>27.58</v>
      </c>
    </row>
    <row r="534" spans="1:23" x14ac:dyDescent="0.25">
      <c r="A534" s="400" t="s">
        <v>1462</v>
      </c>
      <c r="B534">
        <v>2.4409999999999998</v>
      </c>
      <c r="D534" t="s">
        <v>1462</v>
      </c>
      <c r="E534">
        <v>2.6269999999999998</v>
      </c>
      <c r="G534" t="s">
        <v>1462</v>
      </c>
      <c r="H534">
        <v>2.2909999999999999</v>
      </c>
      <c r="J534" t="s">
        <v>1462</v>
      </c>
      <c r="K534">
        <v>2.2909999999999999</v>
      </c>
      <c r="M534" t="s">
        <v>1462</v>
      </c>
      <c r="N534">
        <v>2.2909999999999999</v>
      </c>
      <c r="P534" t="s">
        <v>1462</v>
      </c>
      <c r="Q534">
        <v>2.2909999999999999</v>
      </c>
      <c r="S534" t="s">
        <v>1462</v>
      </c>
      <c r="T534">
        <v>2.2909999999999999</v>
      </c>
      <c r="V534" t="s">
        <v>1462</v>
      </c>
      <c r="W534">
        <v>2.2909999999999999</v>
      </c>
    </row>
    <row r="535" spans="1:23" x14ac:dyDescent="0.25">
      <c r="A535" s="400" t="s">
        <v>1463</v>
      </c>
      <c r="B535">
        <v>0</v>
      </c>
      <c r="D535" t="s">
        <v>1463</v>
      </c>
      <c r="E535">
        <v>0</v>
      </c>
      <c r="G535" t="s">
        <v>1463</v>
      </c>
      <c r="H535">
        <v>0</v>
      </c>
      <c r="J535" t="s">
        <v>1463</v>
      </c>
      <c r="K535">
        <v>0</v>
      </c>
      <c r="M535" t="s">
        <v>1463</v>
      </c>
      <c r="N535">
        <v>0</v>
      </c>
      <c r="P535" t="s">
        <v>1463</v>
      </c>
      <c r="Q535">
        <v>0</v>
      </c>
      <c r="S535" t="s">
        <v>1463</v>
      </c>
      <c r="T535">
        <v>0</v>
      </c>
      <c r="V535" t="s">
        <v>1463</v>
      </c>
      <c r="W535">
        <v>0</v>
      </c>
    </row>
    <row r="536" spans="1:23" x14ac:dyDescent="0.25">
      <c r="A536" s="400" t="s">
        <v>1464</v>
      </c>
      <c r="B536">
        <v>0</v>
      </c>
      <c r="D536" t="s">
        <v>1464</v>
      </c>
      <c r="E536">
        <v>0</v>
      </c>
      <c r="G536" t="s">
        <v>1464</v>
      </c>
      <c r="H536">
        <v>0</v>
      </c>
      <c r="J536" t="s">
        <v>1464</v>
      </c>
      <c r="K536">
        <v>0</v>
      </c>
      <c r="M536" t="s">
        <v>1464</v>
      </c>
      <c r="N536">
        <v>0</v>
      </c>
      <c r="P536" t="s">
        <v>1464</v>
      </c>
      <c r="Q536">
        <v>0</v>
      </c>
      <c r="S536" t="s">
        <v>1464</v>
      </c>
      <c r="T536">
        <v>0</v>
      </c>
      <c r="V536" t="s">
        <v>1464</v>
      </c>
      <c r="W536">
        <v>0</v>
      </c>
    </row>
    <row r="537" spans="1:23" x14ac:dyDescent="0.25">
      <c r="A537" s="400" t="s">
        <v>1465</v>
      </c>
      <c r="B537">
        <v>17.390999999999998</v>
      </c>
      <c r="D537" t="s">
        <v>1465</v>
      </c>
      <c r="E537">
        <v>17.367000000000001</v>
      </c>
      <c r="G537" t="s">
        <v>1465</v>
      </c>
      <c r="H537">
        <v>29.870999999999999</v>
      </c>
      <c r="J537" t="s">
        <v>1465</v>
      </c>
      <c r="K537">
        <v>29.870999999999999</v>
      </c>
      <c r="M537" t="s">
        <v>1465</v>
      </c>
      <c r="N537">
        <v>29.870999999999999</v>
      </c>
      <c r="P537" t="s">
        <v>1465</v>
      </c>
      <c r="Q537">
        <v>29.870999999999999</v>
      </c>
      <c r="S537" t="s">
        <v>1465</v>
      </c>
      <c r="T537">
        <v>29.870999999999999</v>
      </c>
      <c r="V537" t="s">
        <v>1465</v>
      </c>
      <c r="W537">
        <v>29.870999999999999</v>
      </c>
    </row>
    <row r="538" spans="1:23" x14ac:dyDescent="0.25">
      <c r="A538" s="400" t="s">
        <v>1466</v>
      </c>
      <c r="B538">
        <v>609.22</v>
      </c>
      <c r="D538" t="s">
        <v>1466</v>
      </c>
      <c r="E538">
        <v>592.14</v>
      </c>
      <c r="G538" t="s">
        <v>1466</v>
      </c>
      <c r="H538">
        <v>597.40000000000009</v>
      </c>
      <c r="J538" t="s">
        <v>1466</v>
      </c>
      <c r="K538">
        <v>586.70000000000005</v>
      </c>
      <c r="M538" t="s">
        <v>1466</v>
      </c>
      <c r="N538">
        <v>571.70000000000005</v>
      </c>
      <c r="P538" t="s">
        <v>1466</v>
      </c>
      <c r="Q538">
        <v>556.70000000000005</v>
      </c>
      <c r="S538" t="s">
        <v>1466</v>
      </c>
      <c r="T538">
        <v>546.70000000000005</v>
      </c>
      <c r="V538" t="s">
        <v>1466</v>
      </c>
      <c r="W538">
        <v>541.70000000000005</v>
      </c>
    </row>
    <row r="539" spans="1:23" x14ac:dyDescent="0.25">
      <c r="A539" s="400" t="s">
        <v>1467</v>
      </c>
      <c r="B539">
        <v>626.61099999999999</v>
      </c>
      <c r="D539" t="s">
        <v>1467</v>
      </c>
      <c r="E539">
        <v>609.50699999999995</v>
      </c>
      <c r="G539" t="s">
        <v>1467</v>
      </c>
      <c r="H539">
        <v>627.27100000000007</v>
      </c>
      <c r="J539" t="s">
        <v>1467</v>
      </c>
      <c r="K539">
        <v>616.57100000000003</v>
      </c>
      <c r="M539" t="s">
        <v>1467</v>
      </c>
      <c r="N539">
        <v>601.57100000000003</v>
      </c>
      <c r="P539" t="s">
        <v>1467</v>
      </c>
      <c r="Q539">
        <v>586.57100000000003</v>
      </c>
      <c r="S539" t="s">
        <v>1467</v>
      </c>
      <c r="T539">
        <v>576.57100000000003</v>
      </c>
      <c r="V539" t="s">
        <v>1467</v>
      </c>
      <c r="W539">
        <v>571.57100000000003</v>
      </c>
    </row>
    <row r="540" spans="1:23" x14ac:dyDescent="0.25">
      <c r="A540" s="400" t="s">
        <v>1468</v>
      </c>
      <c r="B540">
        <v>62.72</v>
      </c>
      <c r="D540" t="s">
        <v>1468</v>
      </c>
      <c r="E540">
        <v>63.239999999999995</v>
      </c>
      <c r="G540" t="s">
        <v>1468</v>
      </c>
      <c r="H540">
        <v>80.800000000000011</v>
      </c>
      <c r="J540" t="s">
        <v>1468</v>
      </c>
      <c r="K540">
        <v>80.8</v>
      </c>
      <c r="M540" t="s">
        <v>1468</v>
      </c>
      <c r="N540">
        <v>80.8</v>
      </c>
      <c r="P540" t="s">
        <v>1468</v>
      </c>
      <c r="Q540">
        <v>80.8</v>
      </c>
      <c r="S540" t="s">
        <v>1468</v>
      </c>
      <c r="T540">
        <v>80.8</v>
      </c>
      <c r="V540" t="s">
        <v>1468</v>
      </c>
      <c r="W540">
        <v>80.8</v>
      </c>
    </row>
    <row r="541" spans="1:23" x14ac:dyDescent="0.25">
      <c r="A541" s="400" t="s">
        <v>1469</v>
      </c>
      <c r="B541">
        <v>563.89099999999996</v>
      </c>
      <c r="D541" t="s">
        <v>1469</v>
      </c>
      <c r="E541">
        <v>546.26699999999994</v>
      </c>
      <c r="G541" t="s">
        <v>1469</v>
      </c>
      <c r="H541">
        <v>546.471</v>
      </c>
      <c r="J541" t="s">
        <v>1469</v>
      </c>
      <c r="K541">
        <v>535.77099999999996</v>
      </c>
      <c r="M541" t="s">
        <v>1469</v>
      </c>
      <c r="N541">
        <v>520.77099999999996</v>
      </c>
      <c r="P541" t="s">
        <v>1469</v>
      </c>
      <c r="Q541">
        <v>505.77100000000002</v>
      </c>
      <c r="S541" t="s">
        <v>1469</v>
      </c>
      <c r="T541">
        <v>495.77100000000002</v>
      </c>
      <c r="V541" t="s">
        <v>1469</v>
      </c>
      <c r="W541">
        <v>490.77100000000002</v>
      </c>
    </row>
    <row r="542" spans="1:23" x14ac:dyDescent="0.25">
      <c r="A542" s="400"/>
      <c r="B542">
        <v>0</v>
      </c>
      <c r="E542">
        <v>0</v>
      </c>
      <c r="H542">
        <v>0</v>
      </c>
      <c r="K542">
        <v>0</v>
      </c>
      <c r="N542">
        <v>0</v>
      </c>
      <c r="Q542">
        <v>0</v>
      </c>
      <c r="T542">
        <v>0</v>
      </c>
      <c r="W542">
        <v>0</v>
      </c>
    </row>
    <row r="543" spans="1:23" x14ac:dyDescent="0.25">
      <c r="A543" s="400"/>
      <c r="B543">
        <v>0</v>
      </c>
      <c r="E543">
        <v>0</v>
      </c>
      <c r="H543">
        <v>0</v>
      </c>
      <c r="K543">
        <v>0</v>
      </c>
      <c r="N543">
        <v>0</v>
      </c>
      <c r="Q543">
        <v>0</v>
      </c>
      <c r="T543">
        <v>0</v>
      </c>
      <c r="W543">
        <v>0</v>
      </c>
    </row>
    <row r="544" spans="1:23" x14ac:dyDescent="0.25">
      <c r="A544" s="400" t="s">
        <v>1470</v>
      </c>
      <c r="B544">
        <v>6511</v>
      </c>
      <c r="D544" t="s">
        <v>1470</v>
      </c>
      <c r="E544">
        <v>6656</v>
      </c>
      <c r="G544" t="s">
        <v>1470</v>
      </c>
      <c r="H544">
        <v>6729</v>
      </c>
      <c r="J544" t="s">
        <v>1470</v>
      </c>
      <c r="K544">
        <v>6796</v>
      </c>
      <c r="M544" t="s">
        <v>1470</v>
      </c>
      <c r="N544">
        <v>6863</v>
      </c>
      <c r="P544" t="s">
        <v>1470</v>
      </c>
      <c r="Q544">
        <v>6931</v>
      </c>
      <c r="S544" t="s">
        <v>1470</v>
      </c>
      <c r="T544">
        <v>7000</v>
      </c>
      <c r="V544" t="s">
        <v>1470</v>
      </c>
      <c r="W544">
        <v>7069</v>
      </c>
    </row>
    <row r="545" spans="1:23" x14ac:dyDescent="0.25">
      <c r="A545" s="400" t="s">
        <v>1471</v>
      </c>
      <c r="B545">
        <v>546.5</v>
      </c>
      <c r="D545" t="s">
        <v>1471</v>
      </c>
      <c r="E545">
        <v>528.9</v>
      </c>
      <c r="G545" t="s">
        <v>1471</v>
      </c>
      <c r="H545">
        <v>516.6</v>
      </c>
      <c r="J545" t="s">
        <v>1471</v>
      </c>
      <c r="K545">
        <v>505.9</v>
      </c>
      <c r="M545" t="s">
        <v>1471</v>
      </c>
      <c r="N545">
        <v>490.9</v>
      </c>
      <c r="P545" t="s">
        <v>1471</v>
      </c>
      <c r="Q545">
        <v>475.9</v>
      </c>
      <c r="S545" t="s">
        <v>1471</v>
      </c>
      <c r="T545">
        <v>465.9</v>
      </c>
      <c r="V545" t="s">
        <v>1471</v>
      </c>
      <c r="W545">
        <v>460.9</v>
      </c>
    </row>
    <row r="546" spans="1:23" x14ac:dyDescent="0.25">
      <c r="A546" s="400" t="s">
        <v>1472</v>
      </c>
      <c r="B546">
        <v>3558262</v>
      </c>
      <c r="D546" t="s">
        <v>1472</v>
      </c>
      <c r="E546">
        <v>3520358</v>
      </c>
      <c r="G546" t="s">
        <v>1472</v>
      </c>
      <c r="H546">
        <v>3476201</v>
      </c>
      <c r="J546" t="s">
        <v>1472</v>
      </c>
      <c r="K546">
        <v>3438096</v>
      </c>
      <c r="M546" t="s">
        <v>1472</v>
      </c>
      <c r="N546">
        <v>3369047</v>
      </c>
      <c r="P546" t="s">
        <v>1472</v>
      </c>
      <c r="Q546">
        <v>3298463</v>
      </c>
      <c r="S546" t="s">
        <v>1472</v>
      </c>
      <c r="T546">
        <v>3261300</v>
      </c>
      <c r="V546" t="s">
        <v>1472</v>
      </c>
      <c r="W546">
        <v>3258102</v>
      </c>
    </row>
    <row r="547" spans="1:23" x14ac:dyDescent="0.25">
      <c r="A547" s="400" t="s">
        <v>1473</v>
      </c>
      <c r="B547">
        <v>3690108</v>
      </c>
      <c r="D547" t="s">
        <v>1473</v>
      </c>
      <c r="E547">
        <v>3558262</v>
      </c>
      <c r="G547" t="s">
        <v>1473</v>
      </c>
      <c r="H547">
        <v>3520358</v>
      </c>
      <c r="J547" t="s">
        <v>1473</v>
      </c>
      <c r="K547">
        <v>3476201</v>
      </c>
      <c r="M547" t="s">
        <v>1473</v>
      </c>
      <c r="N547">
        <v>3438096</v>
      </c>
      <c r="P547" t="s">
        <v>1473</v>
      </c>
      <c r="Q547">
        <v>3369047</v>
      </c>
      <c r="S547" t="s">
        <v>1473</v>
      </c>
      <c r="T547">
        <v>3298463</v>
      </c>
      <c r="V547" t="s">
        <v>1473</v>
      </c>
      <c r="W547">
        <v>3261300</v>
      </c>
    </row>
    <row r="548" spans="1:23" x14ac:dyDescent="0.25">
      <c r="A548" s="400" t="s">
        <v>1474</v>
      </c>
      <c r="B548">
        <v>1.01</v>
      </c>
      <c r="D548" t="s">
        <v>1474</v>
      </c>
      <c r="E548">
        <v>1.01</v>
      </c>
      <c r="G548" t="s">
        <v>1474</v>
      </c>
      <c r="H548">
        <v>1.01</v>
      </c>
      <c r="J548" t="s">
        <v>1474</v>
      </c>
      <c r="K548">
        <v>1.01</v>
      </c>
      <c r="M548" t="s">
        <v>1474</v>
      </c>
      <c r="N548">
        <v>1.01</v>
      </c>
      <c r="P548" t="s">
        <v>1474</v>
      </c>
      <c r="Q548">
        <v>1.01</v>
      </c>
      <c r="S548" t="s">
        <v>1474</v>
      </c>
      <c r="T548">
        <v>1.01</v>
      </c>
      <c r="V548" t="s">
        <v>1474</v>
      </c>
      <c r="W548">
        <v>1.01</v>
      </c>
    </row>
    <row r="549" spans="1:23" x14ac:dyDescent="0.25">
      <c r="A549" s="400" t="s">
        <v>1475</v>
      </c>
      <c r="B549">
        <v>3727009</v>
      </c>
      <c r="D549" t="s">
        <v>1475</v>
      </c>
      <c r="E549">
        <v>3593845</v>
      </c>
      <c r="G549" t="s">
        <v>1475</v>
      </c>
      <c r="H549">
        <v>3555562</v>
      </c>
      <c r="J549" t="s">
        <v>1475</v>
      </c>
      <c r="K549">
        <v>3510963</v>
      </c>
      <c r="M549" t="s">
        <v>1475</v>
      </c>
      <c r="N549">
        <v>3472477</v>
      </c>
      <c r="P549" t="s">
        <v>1475</v>
      </c>
      <c r="Q549">
        <v>3402737</v>
      </c>
      <c r="S549" t="s">
        <v>1475</v>
      </c>
      <c r="T549">
        <v>3331448</v>
      </c>
      <c r="V549" t="s">
        <v>1475</v>
      </c>
      <c r="W549">
        <v>3293913</v>
      </c>
    </row>
    <row r="550" spans="1:23" x14ac:dyDescent="0.25">
      <c r="A550" s="400" t="s">
        <v>1476</v>
      </c>
      <c r="B550">
        <v>3558262</v>
      </c>
      <c r="D550" t="s">
        <v>1476</v>
      </c>
      <c r="E550">
        <v>3520358</v>
      </c>
      <c r="G550" t="s">
        <v>1476</v>
      </c>
      <c r="H550">
        <v>3476201</v>
      </c>
      <c r="J550" t="s">
        <v>1476</v>
      </c>
      <c r="K550">
        <v>3438096</v>
      </c>
      <c r="M550" t="s">
        <v>1476</v>
      </c>
      <c r="N550">
        <v>3369047</v>
      </c>
      <c r="P550" t="s">
        <v>1476</v>
      </c>
      <c r="Q550">
        <v>3298463</v>
      </c>
      <c r="S550" t="s">
        <v>1476</v>
      </c>
      <c r="T550">
        <v>3261300</v>
      </c>
      <c r="V550" t="s">
        <v>1476</v>
      </c>
      <c r="W550">
        <v>3258102</v>
      </c>
    </row>
    <row r="551" spans="1:23" x14ac:dyDescent="0.25">
      <c r="A551" s="400" t="s">
        <v>1477</v>
      </c>
      <c r="B551">
        <v>168747</v>
      </c>
      <c r="D551" t="s">
        <v>1477</v>
      </c>
      <c r="E551">
        <v>73487</v>
      </c>
      <c r="G551" t="s">
        <v>1477</v>
      </c>
      <c r="H551">
        <v>79361</v>
      </c>
      <c r="J551" t="s">
        <v>1477</v>
      </c>
      <c r="K551">
        <v>72867</v>
      </c>
      <c r="M551" t="s">
        <v>1477</v>
      </c>
      <c r="N551">
        <v>103430</v>
      </c>
      <c r="P551" t="s">
        <v>1477</v>
      </c>
      <c r="Q551">
        <v>104274</v>
      </c>
      <c r="S551" t="s">
        <v>1477</v>
      </c>
      <c r="T551">
        <v>70148</v>
      </c>
      <c r="V551" t="s">
        <v>1477</v>
      </c>
      <c r="W551">
        <v>35811</v>
      </c>
    </row>
    <row r="552" spans="1:23" x14ac:dyDescent="0.25">
      <c r="A552" s="400"/>
      <c r="B552">
        <v>0</v>
      </c>
      <c r="E552">
        <v>0</v>
      </c>
      <c r="H552">
        <v>0</v>
      </c>
      <c r="K552">
        <v>0</v>
      </c>
      <c r="N552">
        <v>0</v>
      </c>
      <c r="Q552">
        <v>0</v>
      </c>
      <c r="T552">
        <v>0</v>
      </c>
      <c r="W552">
        <v>0</v>
      </c>
    </row>
    <row r="553" spans="1:23" x14ac:dyDescent="0.25">
      <c r="A553" s="400" t="s">
        <v>1478</v>
      </c>
      <c r="B553">
        <v>6511</v>
      </c>
      <c r="D553" t="s">
        <v>1478</v>
      </c>
      <c r="E553">
        <v>6656</v>
      </c>
      <c r="G553" t="s">
        <v>1478</v>
      </c>
      <c r="H553">
        <v>6729</v>
      </c>
      <c r="J553" t="s">
        <v>1478</v>
      </c>
      <c r="K553">
        <v>6796</v>
      </c>
      <c r="M553" t="s">
        <v>1478</v>
      </c>
      <c r="N553">
        <v>6863</v>
      </c>
      <c r="P553" t="s">
        <v>1478</v>
      </c>
      <c r="Q553">
        <v>6931</v>
      </c>
      <c r="S553" t="s">
        <v>1478</v>
      </c>
      <c r="T553">
        <v>7000</v>
      </c>
      <c r="V553" t="s">
        <v>1478</v>
      </c>
      <c r="W553">
        <v>7069</v>
      </c>
    </row>
    <row r="554" spans="1:23" x14ac:dyDescent="0.25">
      <c r="A554" s="400" t="s">
        <v>1479</v>
      </c>
      <c r="B554">
        <v>17.390999999999998</v>
      </c>
      <c r="D554" t="s">
        <v>1479</v>
      </c>
      <c r="E554">
        <v>17.367000000000001</v>
      </c>
      <c r="G554" t="s">
        <v>1479</v>
      </c>
      <c r="H554">
        <v>29.870999999999999</v>
      </c>
      <c r="J554" t="s">
        <v>1479</v>
      </c>
      <c r="K554">
        <v>29.870999999999999</v>
      </c>
      <c r="M554" t="s">
        <v>1479</v>
      </c>
      <c r="N554">
        <v>29.870999999999999</v>
      </c>
      <c r="P554" t="s">
        <v>1479</v>
      </c>
      <c r="Q554">
        <v>29.870999999999999</v>
      </c>
      <c r="S554" t="s">
        <v>1479</v>
      </c>
      <c r="T554">
        <v>29.870999999999999</v>
      </c>
      <c r="V554" t="s">
        <v>1479</v>
      </c>
      <c r="W554">
        <v>29.870999999999999</v>
      </c>
    </row>
    <row r="555" spans="1:23" x14ac:dyDescent="0.25">
      <c r="A555" s="400" t="s">
        <v>1480</v>
      </c>
      <c r="B555">
        <v>113233</v>
      </c>
      <c r="D555" t="s">
        <v>1480</v>
      </c>
      <c r="E555">
        <v>115595</v>
      </c>
      <c r="G555" t="s">
        <v>1480</v>
      </c>
      <c r="H555">
        <v>201002</v>
      </c>
      <c r="J555" t="s">
        <v>1480</v>
      </c>
      <c r="K555">
        <v>203003</v>
      </c>
      <c r="M555" t="s">
        <v>1480</v>
      </c>
      <c r="N555">
        <v>205005</v>
      </c>
      <c r="P555" t="s">
        <v>1480</v>
      </c>
      <c r="Q555">
        <v>207036</v>
      </c>
      <c r="S555" t="s">
        <v>1480</v>
      </c>
      <c r="T555">
        <v>209097</v>
      </c>
      <c r="V555" t="s">
        <v>1480</v>
      </c>
      <c r="W555">
        <v>211158</v>
      </c>
    </row>
    <row r="556" spans="1:23" x14ac:dyDescent="0.25">
      <c r="A556" s="400" t="s">
        <v>1481</v>
      </c>
      <c r="B556">
        <v>6511</v>
      </c>
      <c r="D556" t="s">
        <v>1481</v>
      </c>
      <c r="E556">
        <v>6656</v>
      </c>
      <c r="G556" t="s">
        <v>1481</v>
      </c>
      <c r="H556">
        <v>6729</v>
      </c>
      <c r="J556" t="s">
        <v>1481</v>
      </c>
      <c r="K556">
        <v>6796</v>
      </c>
      <c r="M556" t="s">
        <v>1481</v>
      </c>
      <c r="N556">
        <v>6863</v>
      </c>
      <c r="P556" t="s">
        <v>1481</v>
      </c>
      <c r="Q556">
        <v>6931</v>
      </c>
      <c r="S556" t="s">
        <v>1481</v>
      </c>
      <c r="T556">
        <v>7000</v>
      </c>
      <c r="V556" t="s">
        <v>1481</v>
      </c>
      <c r="W556">
        <v>7069</v>
      </c>
    </row>
    <row r="557" spans="1:23" x14ac:dyDescent="0.25">
      <c r="A557" s="400" t="s">
        <v>1482</v>
      </c>
      <c r="B557">
        <v>62.72</v>
      </c>
      <c r="D557" t="s">
        <v>1482</v>
      </c>
      <c r="E557">
        <v>63.239999999999995</v>
      </c>
      <c r="G557" t="s">
        <v>1482</v>
      </c>
      <c r="H557">
        <v>80.8</v>
      </c>
      <c r="J557" t="s">
        <v>1482</v>
      </c>
      <c r="K557">
        <v>80.8</v>
      </c>
      <c r="M557" t="s">
        <v>1482</v>
      </c>
      <c r="N557">
        <v>80.8</v>
      </c>
      <c r="P557" t="s">
        <v>1482</v>
      </c>
      <c r="Q557">
        <v>80.8</v>
      </c>
      <c r="S557" t="s">
        <v>1482</v>
      </c>
      <c r="T557">
        <v>80.8</v>
      </c>
      <c r="V557" t="s">
        <v>1482</v>
      </c>
      <c r="W557">
        <v>80.8</v>
      </c>
    </row>
    <row r="558" spans="1:23" x14ac:dyDescent="0.25">
      <c r="A558" s="400" t="s">
        <v>1483</v>
      </c>
      <c r="B558">
        <v>408370</v>
      </c>
      <c r="D558" t="s">
        <v>1483</v>
      </c>
      <c r="E558">
        <v>420925</v>
      </c>
      <c r="G558" t="s">
        <v>1483</v>
      </c>
      <c r="H558">
        <v>543703</v>
      </c>
      <c r="J558" t="s">
        <v>1483</v>
      </c>
      <c r="K558">
        <v>549117</v>
      </c>
      <c r="M558" t="s">
        <v>1483</v>
      </c>
      <c r="N558">
        <v>554530</v>
      </c>
      <c r="P558" t="s">
        <v>1483</v>
      </c>
      <c r="Q558">
        <v>560025</v>
      </c>
      <c r="S558" t="s">
        <v>1483</v>
      </c>
      <c r="T558">
        <v>565600</v>
      </c>
      <c r="V558" t="s">
        <v>1483</v>
      </c>
      <c r="W558">
        <v>571175</v>
      </c>
    </row>
    <row r="559" spans="1:23" x14ac:dyDescent="0.25">
      <c r="A559" s="400" t="s">
        <v>1484</v>
      </c>
      <c r="B559">
        <v>544.24</v>
      </c>
      <c r="D559" t="s">
        <v>1484</v>
      </c>
      <c r="E559">
        <v>556.74</v>
      </c>
      <c r="G559" t="s">
        <v>1484</v>
      </c>
      <c r="H559">
        <v>563.04</v>
      </c>
      <c r="J559" t="s">
        <v>1484</v>
      </c>
      <c r="K559">
        <v>568.78</v>
      </c>
      <c r="M559" t="s">
        <v>1484</v>
      </c>
      <c r="N559">
        <v>574.58000000000004</v>
      </c>
      <c r="P559" t="s">
        <v>1484</v>
      </c>
      <c r="Q559">
        <v>580.44000000000005</v>
      </c>
      <c r="S559" t="s">
        <v>1484</v>
      </c>
      <c r="T559">
        <v>586.36</v>
      </c>
      <c r="V559" t="s">
        <v>1484</v>
      </c>
      <c r="W559">
        <v>592.34</v>
      </c>
    </row>
    <row r="560" spans="1:23" x14ac:dyDescent="0.25">
      <c r="A560" s="400" t="s">
        <v>1485</v>
      </c>
      <c r="B560">
        <v>546.5</v>
      </c>
      <c r="D560" t="s">
        <v>1485</v>
      </c>
      <c r="E560">
        <v>528.9</v>
      </c>
      <c r="G560" t="s">
        <v>1485</v>
      </c>
      <c r="H560">
        <v>516.6</v>
      </c>
      <c r="J560" t="s">
        <v>1485</v>
      </c>
      <c r="K560">
        <v>505.9</v>
      </c>
      <c r="M560" t="s">
        <v>1485</v>
      </c>
      <c r="N560">
        <v>490.9</v>
      </c>
      <c r="P560" t="s">
        <v>1485</v>
      </c>
      <c r="Q560">
        <v>475.9</v>
      </c>
      <c r="S560" t="s">
        <v>1485</v>
      </c>
      <c r="T560">
        <v>465.9</v>
      </c>
      <c r="V560" t="s">
        <v>1485</v>
      </c>
      <c r="W560">
        <v>460.9</v>
      </c>
    </row>
    <row r="561" spans="1:23" x14ac:dyDescent="0.25">
      <c r="A561" s="400" t="s">
        <v>1486</v>
      </c>
      <c r="B561">
        <v>297427</v>
      </c>
      <c r="D561" t="s">
        <v>1486</v>
      </c>
      <c r="E561">
        <v>294460</v>
      </c>
      <c r="G561" t="s">
        <v>1486</v>
      </c>
      <c r="H561">
        <v>290866</v>
      </c>
      <c r="J561" t="s">
        <v>1486</v>
      </c>
      <c r="K561">
        <v>287746</v>
      </c>
      <c r="M561" t="s">
        <v>1486</v>
      </c>
      <c r="N561">
        <v>282061</v>
      </c>
      <c r="P561" t="s">
        <v>1486</v>
      </c>
      <c r="Q561">
        <v>276231</v>
      </c>
      <c r="S561" t="s">
        <v>1486</v>
      </c>
      <c r="T561">
        <v>273185</v>
      </c>
      <c r="V561" t="s">
        <v>1486</v>
      </c>
      <c r="W561">
        <v>273010</v>
      </c>
    </row>
    <row r="562" spans="1:23" x14ac:dyDescent="0.25">
      <c r="A562" s="400" t="s">
        <v>1487</v>
      </c>
      <c r="B562">
        <v>308349</v>
      </c>
      <c r="D562" t="s">
        <v>1487</v>
      </c>
      <c r="E562">
        <v>297427</v>
      </c>
      <c r="G562" t="s">
        <v>1487</v>
      </c>
      <c r="H562">
        <v>294460</v>
      </c>
      <c r="J562" t="s">
        <v>1487</v>
      </c>
      <c r="K562">
        <v>290866</v>
      </c>
      <c r="M562" t="s">
        <v>1487</v>
      </c>
      <c r="N562">
        <v>287746</v>
      </c>
      <c r="P562" t="s">
        <v>1487</v>
      </c>
      <c r="Q562">
        <v>282061</v>
      </c>
      <c r="S562" t="s">
        <v>1487</v>
      </c>
      <c r="T562">
        <v>276231</v>
      </c>
      <c r="V562" t="s">
        <v>1487</v>
      </c>
      <c r="W562">
        <v>273185</v>
      </c>
    </row>
    <row r="563" spans="1:23" x14ac:dyDescent="0.25">
      <c r="A563" s="400" t="s">
        <v>1488</v>
      </c>
      <c r="B563">
        <v>297427</v>
      </c>
      <c r="D563" t="s">
        <v>1488</v>
      </c>
      <c r="E563">
        <v>294460</v>
      </c>
      <c r="G563" t="s">
        <v>1488</v>
      </c>
      <c r="H563">
        <v>290866</v>
      </c>
      <c r="J563" t="s">
        <v>1488</v>
      </c>
      <c r="K563">
        <v>287746</v>
      </c>
      <c r="M563" t="s">
        <v>1488</v>
      </c>
      <c r="N563">
        <v>282061</v>
      </c>
      <c r="P563" t="s">
        <v>1488</v>
      </c>
      <c r="Q563">
        <v>276231</v>
      </c>
      <c r="S563" t="s">
        <v>1488</v>
      </c>
      <c r="T563">
        <v>273185</v>
      </c>
      <c r="V563" t="s">
        <v>1488</v>
      </c>
      <c r="W563">
        <v>273010</v>
      </c>
    </row>
    <row r="564" spans="1:23" x14ac:dyDescent="0.25">
      <c r="A564" s="400" t="s">
        <v>1489</v>
      </c>
      <c r="B564">
        <v>10922</v>
      </c>
      <c r="D564" t="s">
        <v>1489</v>
      </c>
      <c r="E564">
        <v>2967</v>
      </c>
      <c r="G564" t="s">
        <v>1489</v>
      </c>
      <c r="H564">
        <v>3594</v>
      </c>
      <c r="J564" t="s">
        <v>1489</v>
      </c>
      <c r="K564">
        <v>3120</v>
      </c>
      <c r="M564" t="s">
        <v>1489</v>
      </c>
      <c r="N564">
        <v>5685</v>
      </c>
      <c r="P564" t="s">
        <v>1489</v>
      </c>
      <c r="Q564">
        <v>5830</v>
      </c>
      <c r="S564" t="s">
        <v>1489</v>
      </c>
      <c r="T564">
        <v>3046</v>
      </c>
      <c r="V564" t="s">
        <v>1489</v>
      </c>
      <c r="W564">
        <v>175</v>
      </c>
    </row>
    <row r="565" spans="1:23" x14ac:dyDescent="0.25">
      <c r="A565" s="400" t="s">
        <v>1490</v>
      </c>
      <c r="B565">
        <v>297427</v>
      </c>
      <c r="D565" t="s">
        <v>1490</v>
      </c>
      <c r="E565">
        <v>294460</v>
      </c>
      <c r="G565" t="s">
        <v>1490</v>
      </c>
      <c r="H565">
        <v>290866</v>
      </c>
      <c r="J565" t="s">
        <v>1490</v>
      </c>
      <c r="K565">
        <v>287746</v>
      </c>
      <c r="M565" t="s">
        <v>1490</v>
      </c>
      <c r="N565">
        <v>282061</v>
      </c>
      <c r="P565" t="s">
        <v>1490</v>
      </c>
      <c r="Q565">
        <v>276231</v>
      </c>
      <c r="S565" t="s">
        <v>1490</v>
      </c>
      <c r="T565">
        <v>273185</v>
      </c>
      <c r="V565" t="s">
        <v>1490</v>
      </c>
      <c r="W565">
        <v>273010</v>
      </c>
    </row>
    <row r="566" spans="1:23" x14ac:dyDescent="0.25">
      <c r="A566" s="400" t="s">
        <v>1491</v>
      </c>
      <c r="B566">
        <v>308349</v>
      </c>
      <c r="D566" t="s">
        <v>1491</v>
      </c>
      <c r="E566">
        <v>297427</v>
      </c>
      <c r="G566" t="s">
        <v>1491</v>
      </c>
      <c r="H566">
        <v>294460</v>
      </c>
      <c r="J566" t="s">
        <v>1491</v>
      </c>
      <c r="K566">
        <v>290866</v>
      </c>
      <c r="M566" t="s">
        <v>1491</v>
      </c>
      <c r="N566">
        <v>287746</v>
      </c>
      <c r="P566" t="s">
        <v>1491</v>
      </c>
      <c r="Q566">
        <v>282061</v>
      </c>
      <c r="S566" t="s">
        <v>1491</v>
      </c>
      <c r="T566">
        <v>276231</v>
      </c>
      <c r="V566" t="s">
        <v>1491</v>
      </c>
      <c r="W566">
        <v>273185</v>
      </c>
    </row>
    <row r="567" spans="1:23" x14ac:dyDescent="0.25">
      <c r="A567" s="400" t="s">
        <v>1492</v>
      </c>
      <c r="B567">
        <v>56.4</v>
      </c>
      <c r="D567" t="s">
        <v>1492</v>
      </c>
      <c r="E567">
        <v>57.82</v>
      </c>
      <c r="G567" t="s">
        <v>1492</v>
      </c>
      <c r="H567">
        <v>58.53</v>
      </c>
      <c r="J567" t="s">
        <v>1492</v>
      </c>
      <c r="K567">
        <v>59.18</v>
      </c>
      <c r="M567" t="s">
        <v>1492</v>
      </c>
      <c r="N567">
        <v>59.84</v>
      </c>
      <c r="P567" t="s">
        <v>1492</v>
      </c>
      <c r="Q567">
        <v>60.5</v>
      </c>
      <c r="S567" t="s">
        <v>1492</v>
      </c>
      <c r="T567">
        <v>61.17</v>
      </c>
      <c r="V567" t="s">
        <v>1492</v>
      </c>
      <c r="W567">
        <v>61.85</v>
      </c>
    </row>
    <row r="568" spans="1:23" x14ac:dyDescent="0.25">
      <c r="A568" s="400" t="s">
        <v>1493</v>
      </c>
      <c r="B568">
        <v>546.5</v>
      </c>
      <c r="D568" t="s">
        <v>1493</v>
      </c>
      <c r="E568">
        <v>528.9</v>
      </c>
      <c r="G568" t="s">
        <v>1493</v>
      </c>
      <c r="H568">
        <v>516.6</v>
      </c>
      <c r="J568" t="s">
        <v>1493</v>
      </c>
      <c r="K568">
        <v>505.9</v>
      </c>
      <c r="M568" t="s">
        <v>1493</v>
      </c>
      <c r="N568">
        <v>490.9</v>
      </c>
      <c r="P568" t="s">
        <v>1493</v>
      </c>
      <c r="Q568">
        <v>475.9</v>
      </c>
      <c r="S568" t="s">
        <v>1493</v>
      </c>
      <c r="T568">
        <v>465.9</v>
      </c>
      <c r="V568" t="s">
        <v>1493</v>
      </c>
      <c r="W568">
        <v>460.9</v>
      </c>
    </row>
    <row r="569" spans="1:23" x14ac:dyDescent="0.25">
      <c r="A569" s="400" t="s">
        <v>1494</v>
      </c>
      <c r="B569">
        <v>30823</v>
      </c>
      <c r="D569" t="s">
        <v>1494</v>
      </c>
      <c r="E569">
        <v>30581</v>
      </c>
      <c r="G569" t="s">
        <v>1494</v>
      </c>
      <c r="H569">
        <v>30237</v>
      </c>
      <c r="J569" t="s">
        <v>1494</v>
      </c>
      <c r="K569">
        <v>29939</v>
      </c>
      <c r="M569" t="s">
        <v>1494</v>
      </c>
      <c r="N569">
        <v>29375</v>
      </c>
      <c r="P569" t="s">
        <v>1494</v>
      </c>
      <c r="Q569">
        <v>28792</v>
      </c>
      <c r="S569" t="s">
        <v>1494</v>
      </c>
      <c r="T569">
        <v>28499</v>
      </c>
      <c r="V569" t="s">
        <v>1494</v>
      </c>
      <c r="W569">
        <v>28507</v>
      </c>
    </row>
    <row r="570" spans="1:23" x14ac:dyDescent="0.25">
      <c r="A570" s="400" t="s">
        <v>1495</v>
      </c>
      <c r="B570">
        <v>31915</v>
      </c>
      <c r="D570" t="s">
        <v>1495</v>
      </c>
      <c r="E570">
        <v>30823</v>
      </c>
      <c r="G570" t="s">
        <v>1495</v>
      </c>
      <c r="H570">
        <v>30581</v>
      </c>
      <c r="J570" t="s">
        <v>1495</v>
      </c>
      <c r="K570">
        <v>30237</v>
      </c>
      <c r="M570" t="s">
        <v>1495</v>
      </c>
      <c r="N570">
        <v>29939</v>
      </c>
      <c r="P570" t="s">
        <v>1495</v>
      </c>
      <c r="Q570">
        <v>29375</v>
      </c>
      <c r="S570" t="s">
        <v>1495</v>
      </c>
      <c r="T570">
        <v>28792</v>
      </c>
      <c r="V570" t="s">
        <v>1495</v>
      </c>
      <c r="W570">
        <v>28499</v>
      </c>
    </row>
    <row r="571" spans="1:23" x14ac:dyDescent="0.25">
      <c r="A571" s="400" t="s">
        <v>1496</v>
      </c>
      <c r="B571">
        <v>30823</v>
      </c>
      <c r="D571" t="s">
        <v>1496</v>
      </c>
      <c r="E571">
        <v>30581</v>
      </c>
      <c r="G571" t="s">
        <v>1496</v>
      </c>
      <c r="H571">
        <v>30237</v>
      </c>
      <c r="J571" t="s">
        <v>1496</v>
      </c>
      <c r="K571">
        <v>29939</v>
      </c>
      <c r="M571" t="s">
        <v>1496</v>
      </c>
      <c r="N571">
        <v>29375</v>
      </c>
      <c r="P571" t="s">
        <v>1496</v>
      </c>
      <c r="Q571">
        <v>28792</v>
      </c>
      <c r="S571" t="s">
        <v>1496</v>
      </c>
      <c r="T571">
        <v>28499</v>
      </c>
      <c r="V571" t="s">
        <v>1496</v>
      </c>
      <c r="W571">
        <v>28507</v>
      </c>
    </row>
    <row r="572" spans="1:23" x14ac:dyDescent="0.25">
      <c r="A572" s="400" t="s">
        <v>1497</v>
      </c>
      <c r="B572">
        <v>1092</v>
      </c>
      <c r="D572" t="s">
        <v>1497</v>
      </c>
      <c r="E572">
        <v>242</v>
      </c>
      <c r="G572" t="s">
        <v>1497</v>
      </c>
      <c r="H572">
        <v>344</v>
      </c>
      <c r="J572" t="s">
        <v>1497</v>
      </c>
      <c r="K572">
        <v>298</v>
      </c>
      <c r="M572" t="s">
        <v>1497</v>
      </c>
      <c r="N572">
        <v>564</v>
      </c>
      <c r="P572" t="s">
        <v>1497</v>
      </c>
      <c r="Q572">
        <v>583</v>
      </c>
      <c r="S572" t="s">
        <v>1497</v>
      </c>
      <c r="T572">
        <v>293</v>
      </c>
      <c r="V572" t="s">
        <v>1497</v>
      </c>
      <c r="W572">
        <v>0</v>
      </c>
    </row>
    <row r="573" spans="1:23" x14ac:dyDescent="0.25">
      <c r="A573" s="400" t="s">
        <v>1498</v>
      </c>
      <c r="B573">
        <v>30823</v>
      </c>
      <c r="D573" t="s">
        <v>1498</v>
      </c>
      <c r="E573">
        <v>30581</v>
      </c>
      <c r="G573" t="s">
        <v>1498</v>
      </c>
      <c r="H573">
        <v>30237</v>
      </c>
      <c r="J573" t="s">
        <v>1498</v>
      </c>
      <c r="K573">
        <v>29939</v>
      </c>
      <c r="M573" t="s">
        <v>1498</v>
      </c>
      <c r="N573">
        <v>29375</v>
      </c>
      <c r="P573" t="s">
        <v>1498</v>
      </c>
      <c r="Q573">
        <v>28792</v>
      </c>
      <c r="S573" t="s">
        <v>1498</v>
      </c>
      <c r="T573">
        <v>28499</v>
      </c>
      <c r="V573" t="s">
        <v>1498</v>
      </c>
      <c r="W573">
        <v>28507</v>
      </c>
    </row>
    <row r="574" spans="1:23" x14ac:dyDescent="0.25">
      <c r="A574" s="400" t="s">
        <v>1499</v>
      </c>
      <c r="B574">
        <v>31915</v>
      </c>
      <c r="D574" t="s">
        <v>1499</v>
      </c>
      <c r="E574">
        <v>30823</v>
      </c>
      <c r="G574" t="s">
        <v>1499</v>
      </c>
      <c r="H574">
        <v>30581</v>
      </c>
      <c r="J574" t="s">
        <v>1499</v>
      </c>
      <c r="K574">
        <v>30237</v>
      </c>
      <c r="M574" t="s">
        <v>1499</v>
      </c>
      <c r="N574">
        <v>29939</v>
      </c>
      <c r="P574" t="s">
        <v>1499</v>
      </c>
      <c r="Q574">
        <v>29375</v>
      </c>
      <c r="S574" t="s">
        <v>1499</v>
      </c>
      <c r="T574">
        <v>28792</v>
      </c>
      <c r="V574" t="s">
        <v>1499</v>
      </c>
      <c r="W574">
        <v>28507</v>
      </c>
    </row>
    <row r="575" spans="1:23" x14ac:dyDescent="0.25">
      <c r="A575" s="400" t="s">
        <v>1500</v>
      </c>
      <c r="B575">
        <v>56.730000000000004</v>
      </c>
      <c r="D575" t="s">
        <v>1500</v>
      </c>
      <c r="E575">
        <v>58.269999999999996</v>
      </c>
      <c r="G575" t="s">
        <v>1500</v>
      </c>
      <c r="H575">
        <v>59.05</v>
      </c>
      <c r="J575" t="s">
        <v>1500</v>
      </c>
      <c r="K575">
        <v>59.76</v>
      </c>
      <c r="M575" t="s">
        <v>1500</v>
      </c>
      <c r="N575">
        <v>60.48</v>
      </c>
      <c r="P575" t="s">
        <v>1500</v>
      </c>
      <c r="Q575">
        <v>61.2</v>
      </c>
      <c r="S575" t="s">
        <v>1500</v>
      </c>
      <c r="T575">
        <v>61.93</v>
      </c>
      <c r="V575" t="s">
        <v>1500</v>
      </c>
      <c r="W575">
        <v>62.67</v>
      </c>
    </row>
    <row r="576" spans="1:23" x14ac:dyDescent="0.25">
      <c r="A576" s="400" t="s">
        <v>1501</v>
      </c>
      <c r="B576">
        <v>546.5</v>
      </c>
      <c r="D576" t="s">
        <v>1501</v>
      </c>
      <c r="E576">
        <v>528.9</v>
      </c>
      <c r="G576" t="s">
        <v>1501</v>
      </c>
      <c r="H576">
        <v>516.6</v>
      </c>
      <c r="J576" t="s">
        <v>1501</v>
      </c>
      <c r="K576">
        <v>505.9</v>
      </c>
      <c r="M576" t="s">
        <v>1501</v>
      </c>
      <c r="N576">
        <v>490.9</v>
      </c>
      <c r="P576" t="s">
        <v>1501</v>
      </c>
      <c r="Q576">
        <v>475.9</v>
      </c>
      <c r="S576" t="s">
        <v>1501</v>
      </c>
      <c r="T576">
        <v>465.9</v>
      </c>
      <c r="V576" t="s">
        <v>1501</v>
      </c>
      <c r="W576">
        <v>460.9</v>
      </c>
    </row>
    <row r="577" spans="1:23" x14ac:dyDescent="0.25">
      <c r="A577" s="400" t="s">
        <v>1502</v>
      </c>
      <c r="B577">
        <v>31003</v>
      </c>
      <c r="D577" t="s">
        <v>1502</v>
      </c>
      <c r="E577">
        <v>30819</v>
      </c>
      <c r="G577" t="s">
        <v>1502</v>
      </c>
      <c r="H577">
        <v>30505</v>
      </c>
      <c r="J577" t="s">
        <v>1502</v>
      </c>
      <c r="K577">
        <v>30233</v>
      </c>
      <c r="M577" t="s">
        <v>1502</v>
      </c>
      <c r="N577">
        <v>29690</v>
      </c>
      <c r="P577" t="s">
        <v>1502</v>
      </c>
      <c r="Q577">
        <v>29125</v>
      </c>
      <c r="S577" t="s">
        <v>1502</v>
      </c>
      <c r="T577">
        <v>28853</v>
      </c>
      <c r="V577" t="s">
        <v>1502</v>
      </c>
      <c r="W577">
        <v>28885</v>
      </c>
    </row>
    <row r="578" spans="1:23" x14ac:dyDescent="0.25">
      <c r="A578" s="400" t="s">
        <v>1503</v>
      </c>
      <c r="B578">
        <v>32064</v>
      </c>
      <c r="D578" t="s">
        <v>1503</v>
      </c>
      <c r="E578">
        <v>31003</v>
      </c>
      <c r="G578" t="s">
        <v>1503</v>
      </c>
      <c r="H578">
        <v>30819</v>
      </c>
      <c r="J578" t="s">
        <v>1503</v>
      </c>
      <c r="K578">
        <v>30505</v>
      </c>
      <c r="M578" t="s">
        <v>1503</v>
      </c>
      <c r="N578">
        <v>30233</v>
      </c>
      <c r="P578" t="s">
        <v>1503</v>
      </c>
      <c r="Q578">
        <v>29690</v>
      </c>
      <c r="S578" t="s">
        <v>1503</v>
      </c>
      <c r="T578">
        <v>29125</v>
      </c>
      <c r="V578" t="s">
        <v>1503</v>
      </c>
      <c r="W578">
        <v>28853</v>
      </c>
    </row>
    <row r="579" spans="1:23" x14ac:dyDescent="0.25">
      <c r="A579" s="400" t="s">
        <v>1504</v>
      </c>
      <c r="B579">
        <v>31003</v>
      </c>
      <c r="D579" t="s">
        <v>1504</v>
      </c>
      <c r="E579">
        <v>30819</v>
      </c>
      <c r="G579" t="s">
        <v>1504</v>
      </c>
      <c r="H579">
        <v>30505</v>
      </c>
      <c r="J579" t="s">
        <v>1504</v>
      </c>
      <c r="K579">
        <v>30233</v>
      </c>
      <c r="M579" t="s">
        <v>1504</v>
      </c>
      <c r="N579">
        <v>29690</v>
      </c>
      <c r="P579" t="s">
        <v>1504</v>
      </c>
      <c r="Q579">
        <v>29125</v>
      </c>
      <c r="S579" t="s">
        <v>1504</v>
      </c>
      <c r="T579">
        <v>28853</v>
      </c>
      <c r="V579" t="s">
        <v>1504</v>
      </c>
      <c r="W579">
        <v>28885</v>
      </c>
    </row>
    <row r="580" spans="1:23" x14ac:dyDescent="0.25">
      <c r="A580" s="400" t="s">
        <v>1505</v>
      </c>
      <c r="B580">
        <v>1061</v>
      </c>
      <c r="D580" t="s">
        <v>1505</v>
      </c>
      <c r="E580">
        <v>184</v>
      </c>
      <c r="G580" t="s">
        <v>1505</v>
      </c>
      <c r="H580">
        <v>314</v>
      </c>
      <c r="J580" t="s">
        <v>1505</v>
      </c>
      <c r="K580">
        <v>272</v>
      </c>
      <c r="M580" t="s">
        <v>1505</v>
      </c>
      <c r="N580">
        <v>543</v>
      </c>
      <c r="P580" t="s">
        <v>1505</v>
      </c>
      <c r="Q580">
        <v>565</v>
      </c>
      <c r="S580" t="s">
        <v>1505</v>
      </c>
      <c r="T580">
        <v>272</v>
      </c>
      <c r="V580" t="s">
        <v>1505</v>
      </c>
      <c r="W580">
        <v>0</v>
      </c>
    </row>
    <row r="581" spans="1:23" x14ac:dyDescent="0.25">
      <c r="A581" s="400" t="s">
        <v>1506</v>
      </c>
      <c r="B581">
        <v>31003</v>
      </c>
      <c r="D581" t="s">
        <v>1506</v>
      </c>
      <c r="E581">
        <v>30819</v>
      </c>
      <c r="G581" t="s">
        <v>1506</v>
      </c>
      <c r="H581">
        <v>30505</v>
      </c>
      <c r="J581" t="s">
        <v>1506</v>
      </c>
      <c r="K581">
        <v>30233</v>
      </c>
      <c r="M581" t="s">
        <v>1506</v>
      </c>
      <c r="N581">
        <v>29690</v>
      </c>
      <c r="P581" t="s">
        <v>1506</v>
      </c>
      <c r="Q581">
        <v>29125</v>
      </c>
      <c r="S581" t="s">
        <v>1506</v>
      </c>
      <c r="T581">
        <v>28853</v>
      </c>
      <c r="V581" t="s">
        <v>1506</v>
      </c>
      <c r="W581">
        <v>28885</v>
      </c>
    </row>
    <row r="582" spans="1:23" x14ac:dyDescent="0.25">
      <c r="A582" s="400" t="s">
        <v>1507</v>
      </c>
      <c r="B582">
        <v>32064</v>
      </c>
      <c r="D582" t="s">
        <v>1507</v>
      </c>
      <c r="E582">
        <v>31003</v>
      </c>
      <c r="G582" t="s">
        <v>1507</v>
      </c>
      <c r="H582">
        <v>30819</v>
      </c>
      <c r="J582" t="s">
        <v>1507</v>
      </c>
      <c r="K582">
        <v>30505</v>
      </c>
      <c r="M582" t="s">
        <v>1507</v>
      </c>
      <c r="N582">
        <v>30233</v>
      </c>
      <c r="P582" t="s">
        <v>1507</v>
      </c>
      <c r="Q582">
        <v>29690</v>
      </c>
      <c r="S582" t="s">
        <v>1507</v>
      </c>
      <c r="T582">
        <v>29125</v>
      </c>
      <c r="V582" t="s">
        <v>1507</v>
      </c>
      <c r="W582">
        <v>28885</v>
      </c>
    </row>
    <row r="583" spans="1:23" x14ac:dyDescent="0.25">
      <c r="A583" s="400" t="s">
        <v>1508</v>
      </c>
      <c r="B583">
        <v>312.68</v>
      </c>
      <c r="D583" t="s">
        <v>1508</v>
      </c>
      <c r="E583">
        <v>319.72000000000003</v>
      </c>
      <c r="G583" t="s">
        <v>1508</v>
      </c>
      <c r="H583">
        <v>323.27</v>
      </c>
      <c r="J583" t="s">
        <v>1508</v>
      </c>
      <c r="K583">
        <v>326.5</v>
      </c>
      <c r="M583" t="s">
        <v>1508</v>
      </c>
      <c r="N583">
        <v>329.77</v>
      </c>
      <c r="P583" t="s">
        <v>1508</v>
      </c>
      <c r="Q583">
        <v>333.07</v>
      </c>
      <c r="S583" t="s">
        <v>1508</v>
      </c>
      <c r="T583">
        <v>336.4</v>
      </c>
      <c r="V583" t="s">
        <v>1508</v>
      </c>
      <c r="W583">
        <v>339.76</v>
      </c>
    </row>
    <row r="584" spans="1:23" x14ac:dyDescent="0.25">
      <c r="A584" s="400" t="s">
        <v>1509</v>
      </c>
      <c r="B584">
        <v>0</v>
      </c>
      <c r="D584" t="s">
        <v>1509</v>
      </c>
      <c r="E584">
        <v>0</v>
      </c>
      <c r="G584" t="s">
        <v>1509</v>
      </c>
      <c r="H584">
        <v>516.6</v>
      </c>
      <c r="J584" t="s">
        <v>1509</v>
      </c>
      <c r="K584">
        <v>505.9</v>
      </c>
      <c r="M584" t="s">
        <v>1509</v>
      </c>
      <c r="N584">
        <v>490.9</v>
      </c>
      <c r="P584" t="s">
        <v>1509</v>
      </c>
      <c r="Q584">
        <v>475.9</v>
      </c>
      <c r="S584" t="s">
        <v>1509</v>
      </c>
      <c r="T584">
        <v>465.9</v>
      </c>
      <c r="V584" t="s">
        <v>1509</v>
      </c>
      <c r="W584">
        <v>460.9</v>
      </c>
    </row>
    <row r="585" spans="1:23" x14ac:dyDescent="0.25">
      <c r="A585" s="400" t="s">
        <v>1510</v>
      </c>
      <c r="B585">
        <v>0</v>
      </c>
      <c r="D585" t="s">
        <v>1510</v>
      </c>
      <c r="E585">
        <v>0</v>
      </c>
      <c r="G585" t="s">
        <v>1510</v>
      </c>
      <c r="H585">
        <v>167001</v>
      </c>
      <c r="J585" t="s">
        <v>1510</v>
      </c>
      <c r="K585">
        <v>165176</v>
      </c>
      <c r="M585" t="s">
        <v>1510</v>
      </c>
      <c r="N585">
        <v>161884</v>
      </c>
      <c r="P585" t="s">
        <v>1510</v>
      </c>
      <c r="Q585">
        <v>158508</v>
      </c>
      <c r="S585" t="s">
        <v>1510</v>
      </c>
      <c r="T585">
        <v>156729</v>
      </c>
      <c r="V585" t="s">
        <v>1510</v>
      </c>
      <c r="W585">
        <v>156595</v>
      </c>
    </row>
    <row r="586" spans="1:23" x14ac:dyDescent="0.25">
      <c r="A586" s="400" t="s">
        <v>1511</v>
      </c>
      <c r="B586">
        <v>0</v>
      </c>
      <c r="D586" t="s">
        <v>1511</v>
      </c>
      <c r="E586">
        <v>0</v>
      </c>
      <c r="G586" t="s">
        <v>1511</v>
      </c>
      <c r="H586">
        <v>169100</v>
      </c>
      <c r="J586" t="s">
        <v>1511</v>
      </c>
      <c r="K586">
        <v>167001</v>
      </c>
      <c r="M586" t="s">
        <v>1511</v>
      </c>
      <c r="N586">
        <v>165176</v>
      </c>
      <c r="P586" t="s">
        <v>1511</v>
      </c>
      <c r="Q586">
        <v>161884</v>
      </c>
      <c r="S586" t="s">
        <v>1511</v>
      </c>
      <c r="T586">
        <v>158508</v>
      </c>
      <c r="V586" t="s">
        <v>1511</v>
      </c>
      <c r="W586">
        <v>156729</v>
      </c>
    </row>
    <row r="587" spans="1:23" x14ac:dyDescent="0.25">
      <c r="A587" s="400" t="s">
        <v>1512</v>
      </c>
      <c r="B587">
        <v>0</v>
      </c>
      <c r="D587" t="s">
        <v>1512</v>
      </c>
      <c r="E587">
        <v>0</v>
      </c>
      <c r="G587" t="s">
        <v>1512</v>
      </c>
      <c r="H587">
        <v>167001</v>
      </c>
      <c r="J587" t="s">
        <v>1512</v>
      </c>
      <c r="K587">
        <v>165176</v>
      </c>
      <c r="M587" t="s">
        <v>1512</v>
      </c>
      <c r="N587">
        <v>161884</v>
      </c>
      <c r="P587" t="s">
        <v>1512</v>
      </c>
      <c r="Q587">
        <v>158508</v>
      </c>
      <c r="S587" t="s">
        <v>1512</v>
      </c>
      <c r="T587">
        <v>156729</v>
      </c>
      <c r="V587" t="s">
        <v>1512</v>
      </c>
      <c r="W587">
        <v>156595</v>
      </c>
    </row>
    <row r="588" spans="1:23" x14ac:dyDescent="0.25">
      <c r="A588" s="400" t="s">
        <v>1513</v>
      </c>
      <c r="B588">
        <v>0</v>
      </c>
      <c r="D588" t="s">
        <v>1513</v>
      </c>
      <c r="E588">
        <v>0</v>
      </c>
      <c r="G588" t="s">
        <v>1513</v>
      </c>
      <c r="H588">
        <v>2099</v>
      </c>
      <c r="J588" t="s">
        <v>1513</v>
      </c>
      <c r="K588">
        <v>1825</v>
      </c>
      <c r="M588" t="s">
        <v>1513</v>
      </c>
      <c r="N588">
        <v>3292</v>
      </c>
      <c r="P588" t="s">
        <v>1513</v>
      </c>
      <c r="Q588">
        <v>3376</v>
      </c>
      <c r="S588" t="s">
        <v>1513</v>
      </c>
      <c r="T588">
        <v>1779</v>
      </c>
      <c r="V588" t="s">
        <v>1513</v>
      </c>
      <c r="W588">
        <v>134</v>
      </c>
    </row>
    <row r="589" spans="1:23" x14ac:dyDescent="0.25">
      <c r="A589" s="400" t="s">
        <v>1514</v>
      </c>
      <c r="B589">
        <v>0</v>
      </c>
      <c r="D589" t="s">
        <v>1514</v>
      </c>
      <c r="E589">
        <v>0</v>
      </c>
      <c r="G589" t="s">
        <v>1514</v>
      </c>
      <c r="H589">
        <v>167001</v>
      </c>
      <c r="J589" t="s">
        <v>1514</v>
      </c>
      <c r="K589">
        <v>165176</v>
      </c>
      <c r="M589" t="s">
        <v>1514</v>
      </c>
      <c r="N589">
        <v>161884</v>
      </c>
      <c r="P589" t="s">
        <v>1514</v>
      </c>
      <c r="Q589">
        <v>158508</v>
      </c>
      <c r="S589" t="s">
        <v>1514</v>
      </c>
      <c r="T589">
        <v>156729</v>
      </c>
      <c r="V589" t="s">
        <v>1514</v>
      </c>
      <c r="W589">
        <v>156595</v>
      </c>
    </row>
    <row r="590" spans="1:23" x14ac:dyDescent="0.25">
      <c r="A590" s="400" t="s">
        <v>1515</v>
      </c>
      <c r="B590">
        <v>0</v>
      </c>
      <c r="D590" t="s">
        <v>1515</v>
      </c>
      <c r="E590">
        <v>0</v>
      </c>
      <c r="G590" t="s">
        <v>1515</v>
      </c>
      <c r="H590">
        <v>169100</v>
      </c>
      <c r="J590" t="s">
        <v>1515</v>
      </c>
      <c r="K590">
        <v>167001</v>
      </c>
      <c r="M590" t="s">
        <v>1515</v>
      </c>
      <c r="N590">
        <v>165176</v>
      </c>
      <c r="P590" t="s">
        <v>1515</v>
      </c>
      <c r="Q590">
        <v>161884</v>
      </c>
      <c r="S590" t="s">
        <v>1515</v>
      </c>
      <c r="T590">
        <v>158508</v>
      </c>
      <c r="V590" t="s">
        <v>1515</v>
      </c>
      <c r="W590">
        <v>156729</v>
      </c>
    </row>
    <row r="591" spans="1:23" x14ac:dyDescent="0.25">
      <c r="A591" s="400"/>
      <c r="B591">
        <v>0</v>
      </c>
      <c r="E591">
        <v>0</v>
      </c>
      <c r="H591">
        <v>0</v>
      </c>
      <c r="K591">
        <v>0</v>
      </c>
      <c r="N591">
        <v>0</v>
      </c>
      <c r="Q591">
        <v>0</v>
      </c>
      <c r="T591">
        <v>0</v>
      </c>
      <c r="W591">
        <v>0</v>
      </c>
    </row>
    <row r="592" spans="1:23" x14ac:dyDescent="0.25">
      <c r="A592" s="400"/>
      <c r="B592">
        <v>0</v>
      </c>
      <c r="E592">
        <v>0</v>
      </c>
      <c r="H592">
        <v>0</v>
      </c>
      <c r="K592">
        <v>0</v>
      </c>
      <c r="N592">
        <v>0</v>
      </c>
      <c r="Q592">
        <v>0</v>
      </c>
      <c r="T592">
        <v>0</v>
      </c>
      <c r="W592">
        <v>0</v>
      </c>
    </row>
    <row r="593" spans="1:23" x14ac:dyDescent="0.25">
      <c r="A593" s="400" t="s">
        <v>1516</v>
      </c>
      <c r="B593">
        <v>283.37</v>
      </c>
      <c r="D593" t="s">
        <v>1516</v>
      </c>
      <c r="E593">
        <v>289.74</v>
      </c>
      <c r="G593" t="s">
        <v>1516</v>
      </c>
      <c r="H593">
        <v>292.95</v>
      </c>
      <c r="J593" t="s">
        <v>1516</v>
      </c>
      <c r="K593">
        <v>295.88</v>
      </c>
      <c r="M593" t="s">
        <v>1516</v>
      </c>
      <c r="N593">
        <v>298.83999999999997</v>
      </c>
      <c r="P593" t="s">
        <v>1516</v>
      </c>
      <c r="Q593">
        <v>301.82</v>
      </c>
      <c r="S593" t="s">
        <v>1516</v>
      </c>
      <c r="T593">
        <v>304.83</v>
      </c>
      <c r="V593" t="s">
        <v>1516</v>
      </c>
      <c r="W593">
        <v>307.87</v>
      </c>
    </row>
    <row r="594" spans="1:23" x14ac:dyDescent="0.25">
      <c r="A594" s="400" t="s">
        <v>1517</v>
      </c>
      <c r="B594">
        <v>609.22</v>
      </c>
      <c r="D594" t="s">
        <v>1517</v>
      </c>
      <c r="E594">
        <v>592.14</v>
      </c>
      <c r="G594" t="s">
        <v>1517</v>
      </c>
      <c r="H594">
        <v>597.4</v>
      </c>
      <c r="J594" t="s">
        <v>1517</v>
      </c>
      <c r="K594">
        <v>586.70000000000005</v>
      </c>
      <c r="M594" t="s">
        <v>1517</v>
      </c>
      <c r="N594">
        <v>571.70000000000005</v>
      </c>
      <c r="P594" t="s">
        <v>1517</v>
      </c>
      <c r="Q594">
        <v>556.70000000000005</v>
      </c>
      <c r="S594" t="s">
        <v>1517</v>
      </c>
      <c r="T594">
        <v>546.70000000000005</v>
      </c>
      <c r="V594" t="s">
        <v>1517</v>
      </c>
      <c r="W594">
        <v>541.70000000000005</v>
      </c>
    </row>
    <row r="595" spans="1:23" x14ac:dyDescent="0.25">
      <c r="A595" s="400" t="s">
        <v>1518</v>
      </c>
      <c r="B595">
        <v>172635</v>
      </c>
      <c r="D595" t="s">
        <v>1518</v>
      </c>
      <c r="E595">
        <v>171567</v>
      </c>
      <c r="G595" t="s">
        <v>1518</v>
      </c>
      <c r="H595">
        <v>175008</v>
      </c>
      <c r="J595" t="s">
        <v>1518</v>
      </c>
      <c r="K595">
        <v>173593</v>
      </c>
      <c r="M595" t="s">
        <v>1518</v>
      </c>
      <c r="N595">
        <v>170847</v>
      </c>
      <c r="P595" t="s">
        <v>1518</v>
      </c>
      <c r="Q595">
        <v>168023</v>
      </c>
      <c r="S595" t="s">
        <v>1518</v>
      </c>
      <c r="T595">
        <v>166651</v>
      </c>
      <c r="V595" t="s">
        <v>1518</v>
      </c>
      <c r="W595">
        <v>166773</v>
      </c>
    </row>
    <row r="596" spans="1:23" x14ac:dyDescent="0.25">
      <c r="A596" s="400" t="s">
        <v>1519</v>
      </c>
      <c r="B596">
        <v>180942</v>
      </c>
      <c r="D596" t="s">
        <v>1519</v>
      </c>
      <c r="E596">
        <v>172635</v>
      </c>
      <c r="G596" t="s">
        <v>1519</v>
      </c>
      <c r="H596">
        <v>171567</v>
      </c>
      <c r="J596" t="s">
        <v>1519</v>
      </c>
      <c r="K596">
        <v>175008</v>
      </c>
      <c r="M596" t="s">
        <v>1519</v>
      </c>
      <c r="N596">
        <v>173593</v>
      </c>
      <c r="P596" t="s">
        <v>1519</v>
      </c>
      <c r="Q596">
        <v>170847</v>
      </c>
      <c r="S596" t="s">
        <v>1519</v>
      </c>
      <c r="T596">
        <v>168023</v>
      </c>
      <c r="V596" t="s">
        <v>1519</v>
      </c>
      <c r="W596">
        <v>166651</v>
      </c>
    </row>
    <row r="597" spans="1:23" x14ac:dyDescent="0.25">
      <c r="A597" s="400" t="s">
        <v>1520</v>
      </c>
      <c r="B597">
        <v>1205</v>
      </c>
      <c r="D597" t="s">
        <v>1520</v>
      </c>
      <c r="E597">
        <v>9512</v>
      </c>
      <c r="G597" t="s">
        <v>1520</v>
      </c>
      <c r="H597">
        <v>10580</v>
      </c>
      <c r="J597" t="s">
        <v>1520</v>
      </c>
      <c r="K597">
        <v>7139</v>
      </c>
      <c r="M597" t="s">
        <v>1520</v>
      </c>
      <c r="N597">
        <v>8554</v>
      </c>
      <c r="P597" t="s">
        <v>1520</v>
      </c>
      <c r="Q597">
        <v>11300</v>
      </c>
      <c r="S597" t="s">
        <v>1520</v>
      </c>
      <c r="T597">
        <v>14124</v>
      </c>
      <c r="V597" t="s">
        <v>1520</v>
      </c>
      <c r="W597">
        <v>15496</v>
      </c>
    </row>
    <row r="598" spans="1:23" x14ac:dyDescent="0.25">
      <c r="A598" s="400" t="s">
        <v>1521</v>
      </c>
      <c r="B598">
        <v>182147</v>
      </c>
      <c r="D598" t="s">
        <v>1521</v>
      </c>
      <c r="E598">
        <v>182147</v>
      </c>
      <c r="G598" t="s">
        <v>1521</v>
      </c>
      <c r="H598">
        <v>182147</v>
      </c>
      <c r="J598" t="s">
        <v>1521</v>
      </c>
      <c r="K598">
        <v>182147</v>
      </c>
      <c r="M598" t="s">
        <v>1521</v>
      </c>
      <c r="N598">
        <v>182147</v>
      </c>
      <c r="P598" t="s">
        <v>1521</v>
      </c>
      <c r="Q598">
        <v>182147</v>
      </c>
      <c r="S598" t="s">
        <v>1521</v>
      </c>
      <c r="T598">
        <v>182147</v>
      </c>
      <c r="V598" t="s">
        <v>1521</v>
      </c>
      <c r="W598">
        <v>182147</v>
      </c>
    </row>
    <row r="599" spans="1:23" x14ac:dyDescent="0.25">
      <c r="A599" s="400" t="s">
        <v>1522</v>
      </c>
      <c r="B599">
        <v>172635</v>
      </c>
      <c r="D599" t="s">
        <v>1522</v>
      </c>
      <c r="E599">
        <v>171567</v>
      </c>
      <c r="G599" t="s">
        <v>1522</v>
      </c>
      <c r="H599">
        <v>175008</v>
      </c>
      <c r="J599" t="s">
        <v>1522</v>
      </c>
      <c r="K599">
        <v>173593</v>
      </c>
      <c r="M599" t="s">
        <v>1522</v>
      </c>
      <c r="N599">
        <v>170847</v>
      </c>
      <c r="P599" t="s">
        <v>1522</v>
      </c>
      <c r="Q599">
        <v>168023</v>
      </c>
      <c r="S599" t="s">
        <v>1522</v>
      </c>
      <c r="T599">
        <v>166651</v>
      </c>
      <c r="V599" t="s">
        <v>1522</v>
      </c>
      <c r="W599">
        <v>166773</v>
      </c>
    </row>
    <row r="600" spans="1:23" x14ac:dyDescent="0.25">
      <c r="A600" s="400" t="s">
        <v>1523</v>
      </c>
      <c r="B600">
        <v>9512</v>
      </c>
      <c r="D600" t="s">
        <v>1523</v>
      </c>
      <c r="E600">
        <v>10580</v>
      </c>
      <c r="G600" t="s">
        <v>1523</v>
      </c>
      <c r="H600">
        <v>7139</v>
      </c>
      <c r="J600" t="s">
        <v>1523</v>
      </c>
      <c r="K600">
        <v>8554</v>
      </c>
      <c r="M600" t="s">
        <v>1523</v>
      </c>
      <c r="N600">
        <v>11300</v>
      </c>
      <c r="P600" t="s">
        <v>1523</v>
      </c>
      <c r="Q600">
        <v>14124</v>
      </c>
      <c r="S600" t="s">
        <v>1523</v>
      </c>
      <c r="T600">
        <v>15496</v>
      </c>
      <c r="V600" t="s">
        <v>1523</v>
      </c>
      <c r="W600">
        <v>15374</v>
      </c>
    </row>
    <row r="601" spans="1:23" x14ac:dyDescent="0.25">
      <c r="A601" s="400" t="s">
        <v>1524</v>
      </c>
      <c r="B601">
        <v>546.5</v>
      </c>
      <c r="D601" t="s">
        <v>1524</v>
      </c>
      <c r="E601">
        <v>528.9</v>
      </c>
      <c r="G601" t="s">
        <v>1524</v>
      </c>
      <c r="H601">
        <v>516.6</v>
      </c>
      <c r="J601" t="s">
        <v>1524</v>
      </c>
      <c r="K601">
        <v>505.9</v>
      </c>
      <c r="M601" t="s">
        <v>1524</v>
      </c>
      <c r="N601">
        <v>490.9</v>
      </c>
      <c r="P601" t="s">
        <v>1524</v>
      </c>
      <c r="Q601">
        <v>475.9</v>
      </c>
      <c r="S601" t="s">
        <v>1524</v>
      </c>
      <c r="T601">
        <v>465.9</v>
      </c>
      <c r="V601" t="s">
        <v>1524</v>
      </c>
      <c r="W601">
        <v>460.9</v>
      </c>
    </row>
    <row r="602" spans="1:23" x14ac:dyDescent="0.25">
      <c r="A602" s="400" t="s">
        <v>1525</v>
      </c>
      <c r="B602">
        <v>0</v>
      </c>
      <c r="D602" t="s">
        <v>1525</v>
      </c>
      <c r="E602">
        <v>0</v>
      </c>
      <c r="G602" t="s">
        <v>1525</v>
      </c>
      <c r="H602">
        <v>0</v>
      </c>
      <c r="J602" t="s">
        <v>1525</v>
      </c>
      <c r="K602">
        <v>0</v>
      </c>
      <c r="M602" t="s">
        <v>1525</v>
      </c>
      <c r="N602">
        <v>0</v>
      </c>
      <c r="P602" t="s">
        <v>1525</v>
      </c>
      <c r="Q602">
        <v>0</v>
      </c>
      <c r="S602" t="s">
        <v>1525</v>
      </c>
      <c r="T602">
        <v>0</v>
      </c>
      <c r="V602" t="s">
        <v>1525</v>
      </c>
      <c r="W602">
        <v>0</v>
      </c>
    </row>
    <row r="603" spans="1:23" x14ac:dyDescent="0.25">
      <c r="A603" s="400" t="s">
        <v>1526</v>
      </c>
      <c r="B603">
        <v>0</v>
      </c>
      <c r="D603" t="s">
        <v>1526</v>
      </c>
      <c r="E603">
        <v>0</v>
      </c>
      <c r="G603" t="s">
        <v>1526</v>
      </c>
      <c r="H603">
        <v>0</v>
      </c>
      <c r="J603" t="s">
        <v>1526</v>
      </c>
      <c r="K603">
        <v>0</v>
      </c>
      <c r="M603" t="s">
        <v>1526</v>
      </c>
      <c r="N603">
        <v>0</v>
      </c>
      <c r="P603" t="s">
        <v>1526</v>
      </c>
      <c r="Q603">
        <v>0</v>
      </c>
      <c r="S603" t="s">
        <v>1526</v>
      </c>
      <c r="T603">
        <v>0</v>
      </c>
      <c r="V603" t="s">
        <v>1526</v>
      </c>
      <c r="W603">
        <v>0</v>
      </c>
    </row>
    <row r="604" spans="1:23" x14ac:dyDescent="0.25">
      <c r="A604" s="400" t="s">
        <v>1527</v>
      </c>
      <c r="B604">
        <v>547</v>
      </c>
      <c r="D604" t="s">
        <v>1527</v>
      </c>
      <c r="E604">
        <v>529</v>
      </c>
      <c r="G604" t="s">
        <v>1527</v>
      </c>
      <c r="H604">
        <v>517</v>
      </c>
      <c r="J604" t="s">
        <v>1527</v>
      </c>
      <c r="K604">
        <v>506</v>
      </c>
      <c r="M604" t="s">
        <v>1527</v>
      </c>
      <c r="N604">
        <v>491</v>
      </c>
      <c r="P604" t="s">
        <v>1527</v>
      </c>
      <c r="Q604">
        <v>476</v>
      </c>
      <c r="S604" t="s">
        <v>1527</v>
      </c>
      <c r="T604">
        <v>466</v>
      </c>
      <c r="V604" t="s">
        <v>1527</v>
      </c>
      <c r="W604">
        <v>461</v>
      </c>
    </row>
    <row r="605" spans="1:23" x14ac:dyDescent="0.25">
      <c r="A605" s="400" t="s">
        <v>1528</v>
      </c>
      <c r="B605">
        <v>52.74</v>
      </c>
      <c r="D605" t="s">
        <v>1528</v>
      </c>
      <c r="E605">
        <v>53.93</v>
      </c>
      <c r="G605" t="s">
        <v>1528</v>
      </c>
      <c r="H605">
        <v>54.53</v>
      </c>
      <c r="J605" t="s">
        <v>1528</v>
      </c>
      <c r="K605">
        <v>55.08</v>
      </c>
      <c r="M605" t="s">
        <v>1528</v>
      </c>
      <c r="N605">
        <v>55.63</v>
      </c>
      <c r="P605" t="s">
        <v>1528</v>
      </c>
      <c r="Q605">
        <v>56.19</v>
      </c>
      <c r="S605" t="s">
        <v>1528</v>
      </c>
      <c r="T605">
        <v>56.75</v>
      </c>
      <c r="V605" t="s">
        <v>1528</v>
      </c>
      <c r="W605">
        <v>57.32</v>
      </c>
    </row>
    <row r="606" spans="1:23" x14ac:dyDescent="0.25">
      <c r="A606" s="400" t="s">
        <v>1529</v>
      </c>
      <c r="B606">
        <v>28849</v>
      </c>
      <c r="D606" t="s">
        <v>1529</v>
      </c>
      <c r="E606">
        <v>28529</v>
      </c>
      <c r="G606" t="s">
        <v>1529</v>
      </c>
      <c r="H606">
        <v>28192</v>
      </c>
      <c r="J606" t="s">
        <v>1529</v>
      </c>
      <c r="K606">
        <v>27870</v>
      </c>
      <c r="M606" t="s">
        <v>1529</v>
      </c>
      <c r="N606">
        <v>27314</v>
      </c>
      <c r="P606" t="s">
        <v>1529</v>
      </c>
      <c r="Q606">
        <v>26746</v>
      </c>
      <c r="S606" t="s">
        <v>1529</v>
      </c>
      <c r="T606">
        <v>26446</v>
      </c>
      <c r="V606" t="s">
        <v>1529</v>
      </c>
      <c r="W606">
        <v>26425</v>
      </c>
    </row>
    <row r="607" spans="1:23" x14ac:dyDescent="0.25">
      <c r="A607" s="400" t="s">
        <v>1530</v>
      </c>
      <c r="B607">
        <v>547</v>
      </c>
      <c r="D607" t="s">
        <v>1530</v>
      </c>
      <c r="E607">
        <v>529</v>
      </c>
      <c r="G607" t="s">
        <v>1530</v>
      </c>
      <c r="H607">
        <v>517</v>
      </c>
      <c r="J607" t="s">
        <v>1530</v>
      </c>
      <c r="K607">
        <v>506</v>
      </c>
      <c r="M607" t="s">
        <v>1530</v>
      </c>
      <c r="N607">
        <v>491</v>
      </c>
      <c r="P607" t="s">
        <v>1530</v>
      </c>
      <c r="Q607">
        <v>476</v>
      </c>
      <c r="S607" t="s">
        <v>1530</v>
      </c>
      <c r="T607">
        <v>466</v>
      </c>
      <c r="V607" t="s">
        <v>1530</v>
      </c>
      <c r="W607">
        <v>461</v>
      </c>
    </row>
    <row r="608" spans="1:23" x14ac:dyDescent="0.25">
      <c r="A608" s="400" t="s">
        <v>1531</v>
      </c>
      <c r="B608">
        <v>58.33</v>
      </c>
      <c r="D608" t="s">
        <v>1531</v>
      </c>
      <c r="E608">
        <v>59.64</v>
      </c>
      <c r="G608" t="s">
        <v>1531</v>
      </c>
      <c r="H608">
        <v>60.3</v>
      </c>
      <c r="J608" t="s">
        <v>1531</v>
      </c>
      <c r="K608">
        <v>60.9</v>
      </c>
      <c r="M608" t="s">
        <v>1531</v>
      </c>
      <c r="N608">
        <v>61.51</v>
      </c>
      <c r="P608" t="s">
        <v>1531</v>
      </c>
      <c r="Q608">
        <v>62.12</v>
      </c>
      <c r="S608" t="s">
        <v>1531</v>
      </c>
      <c r="T608">
        <v>62.74</v>
      </c>
      <c r="V608" t="s">
        <v>1531</v>
      </c>
      <c r="W608">
        <v>63.37</v>
      </c>
    </row>
    <row r="609" spans="1:23" x14ac:dyDescent="0.25">
      <c r="A609" s="400" t="s">
        <v>1532</v>
      </c>
      <c r="B609">
        <v>31907</v>
      </c>
      <c r="D609" t="s">
        <v>1532</v>
      </c>
      <c r="E609">
        <v>31550</v>
      </c>
      <c r="G609" t="s">
        <v>1532</v>
      </c>
      <c r="H609">
        <v>31175</v>
      </c>
      <c r="J609" t="s">
        <v>1532</v>
      </c>
      <c r="K609">
        <v>30815</v>
      </c>
      <c r="M609" t="s">
        <v>1532</v>
      </c>
      <c r="N609">
        <v>30201</v>
      </c>
      <c r="P609" t="s">
        <v>1532</v>
      </c>
      <c r="Q609">
        <v>29569</v>
      </c>
      <c r="S609" t="s">
        <v>1532</v>
      </c>
      <c r="T609">
        <v>29237</v>
      </c>
      <c r="V609" t="s">
        <v>1532</v>
      </c>
      <c r="W609">
        <v>29214</v>
      </c>
    </row>
    <row r="610" spans="1:23" x14ac:dyDescent="0.25">
      <c r="A610" s="400" t="s">
        <v>1533</v>
      </c>
      <c r="B610">
        <v>0</v>
      </c>
      <c r="D610" t="s">
        <v>1533</v>
      </c>
      <c r="E610">
        <v>0</v>
      </c>
      <c r="G610" t="s">
        <v>1533</v>
      </c>
      <c r="H610">
        <v>0</v>
      </c>
      <c r="J610" t="s">
        <v>1533</v>
      </c>
      <c r="K610">
        <v>0</v>
      </c>
      <c r="M610" t="s">
        <v>1533</v>
      </c>
      <c r="N610">
        <v>0</v>
      </c>
      <c r="P610" t="s">
        <v>1533</v>
      </c>
      <c r="Q610">
        <v>0</v>
      </c>
      <c r="S610" t="s">
        <v>1533</v>
      </c>
      <c r="T610">
        <v>0</v>
      </c>
      <c r="V610" t="s">
        <v>1533</v>
      </c>
      <c r="W610">
        <v>0</v>
      </c>
    </row>
    <row r="611" spans="1:23" x14ac:dyDescent="0.25">
      <c r="A611" s="400" t="s">
        <v>1534</v>
      </c>
      <c r="B611">
        <v>283.37</v>
      </c>
      <c r="D611" t="s">
        <v>1534</v>
      </c>
      <c r="E611">
        <v>289.74</v>
      </c>
      <c r="G611" t="s">
        <v>1534</v>
      </c>
      <c r="H611">
        <v>292.95</v>
      </c>
      <c r="J611" t="s">
        <v>1534</v>
      </c>
      <c r="K611">
        <v>295.88</v>
      </c>
      <c r="M611" t="s">
        <v>1534</v>
      </c>
      <c r="N611">
        <v>298.83999999999997</v>
      </c>
      <c r="P611" t="s">
        <v>1534</v>
      </c>
      <c r="Q611">
        <v>301.82</v>
      </c>
      <c r="S611" t="s">
        <v>1534</v>
      </c>
      <c r="T611">
        <v>304.83</v>
      </c>
      <c r="V611" t="s">
        <v>1534</v>
      </c>
      <c r="W611">
        <v>307.87</v>
      </c>
    </row>
    <row r="612" spans="1:23" x14ac:dyDescent="0.25">
      <c r="A612" s="400" t="s">
        <v>1535</v>
      </c>
      <c r="B612">
        <v>0</v>
      </c>
      <c r="D612" t="s">
        <v>1535</v>
      </c>
      <c r="E612">
        <v>0</v>
      </c>
      <c r="G612" t="s">
        <v>1535</v>
      </c>
      <c r="H612">
        <v>0</v>
      </c>
      <c r="J612" t="s">
        <v>1535</v>
      </c>
      <c r="K612">
        <v>0</v>
      </c>
      <c r="M612" t="s">
        <v>1535</v>
      </c>
      <c r="N612">
        <v>0</v>
      </c>
      <c r="P612" t="s">
        <v>1535</v>
      </c>
      <c r="Q612">
        <v>0</v>
      </c>
      <c r="S612" t="s">
        <v>1535</v>
      </c>
      <c r="T612">
        <v>0</v>
      </c>
      <c r="V612" t="s">
        <v>1535</v>
      </c>
      <c r="W612">
        <v>0</v>
      </c>
    </row>
    <row r="613" spans="1:23" x14ac:dyDescent="0.25">
      <c r="A613" s="400" t="s">
        <v>1536</v>
      </c>
      <c r="B613">
        <v>29.1</v>
      </c>
      <c r="D613" t="s">
        <v>1536</v>
      </c>
      <c r="E613">
        <v>29.75</v>
      </c>
      <c r="G613" t="s">
        <v>1536</v>
      </c>
      <c r="H613">
        <v>30.08</v>
      </c>
      <c r="J613" t="s">
        <v>1536</v>
      </c>
      <c r="K613">
        <v>30.38</v>
      </c>
      <c r="M613" t="s">
        <v>1536</v>
      </c>
      <c r="N613">
        <v>30.68</v>
      </c>
      <c r="P613" t="s">
        <v>1536</v>
      </c>
      <c r="Q613">
        <v>30.99</v>
      </c>
      <c r="S613" t="s">
        <v>1536</v>
      </c>
      <c r="T613">
        <v>31.3</v>
      </c>
      <c r="V613" t="s">
        <v>1536</v>
      </c>
      <c r="W613">
        <v>31.61</v>
      </c>
    </row>
    <row r="614" spans="1:23" x14ac:dyDescent="0.25">
      <c r="A614" s="400" t="s">
        <v>1537</v>
      </c>
      <c r="B614">
        <v>609.22</v>
      </c>
      <c r="D614" t="s">
        <v>1537</v>
      </c>
      <c r="E614">
        <v>592.14</v>
      </c>
      <c r="G614" t="s">
        <v>1537</v>
      </c>
      <c r="H614">
        <v>597.4</v>
      </c>
      <c r="J614" t="s">
        <v>1537</v>
      </c>
      <c r="K614">
        <v>586.70000000000005</v>
      </c>
      <c r="M614" t="s">
        <v>1537</v>
      </c>
      <c r="N614">
        <v>571.70000000000005</v>
      </c>
      <c r="P614" t="s">
        <v>1537</v>
      </c>
      <c r="Q614">
        <v>556.70000000000005</v>
      </c>
      <c r="S614" t="s">
        <v>1537</v>
      </c>
      <c r="T614">
        <v>546.70000000000005</v>
      </c>
      <c r="V614" t="s">
        <v>1537</v>
      </c>
      <c r="W614">
        <v>541.70000000000005</v>
      </c>
    </row>
    <row r="615" spans="1:23" x14ac:dyDescent="0.25">
      <c r="A615" s="400" t="s">
        <v>1538</v>
      </c>
      <c r="B615">
        <v>17728</v>
      </c>
      <c r="D615" t="s">
        <v>1538</v>
      </c>
      <c r="E615">
        <v>17616</v>
      </c>
      <c r="G615" t="s">
        <v>1538</v>
      </c>
      <c r="H615">
        <v>17970</v>
      </c>
      <c r="J615" t="s">
        <v>1538</v>
      </c>
      <c r="K615">
        <v>17824</v>
      </c>
      <c r="M615" t="s">
        <v>1538</v>
      </c>
      <c r="N615">
        <v>17540</v>
      </c>
      <c r="P615" t="s">
        <v>1538</v>
      </c>
      <c r="Q615">
        <v>17252</v>
      </c>
      <c r="S615" t="s">
        <v>1538</v>
      </c>
      <c r="T615">
        <v>17112</v>
      </c>
      <c r="V615" t="s">
        <v>1538</v>
      </c>
      <c r="W615">
        <v>17123</v>
      </c>
    </row>
    <row r="616" spans="1:23" x14ac:dyDescent="0.25">
      <c r="A616" s="400" t="s">
        <v>1539</v>
      </c>
      <c r="B616">
        <v>18580</v>
      </c>
      <c r="D616" t="s">
        <v>1539</v>
      </c>
      <c r="E616">
        <v>17728</v>
      </c>
      <c r="G616" t="s">
        <v>1539</v>
      </c>
      <c r="H616">
        <v>17616</v>
      </c>
      <c r="J616" t="s">
        <v>1539</v>
      </c>
      <c r="K616">
        <v>17970</v>
      </c>
      <c r="M616" t="s">
        <v>1539</v>
      </c>
      <c r="N616">
        <v>17824</v>
      </c>
      <c r="P616" t="s">
        <v>1539</v>
      </c>
      <c r="Q616">
        <v>17540</v>
      </c>
      <c r="S616" t="s">
        <v>1539</v>
      </c>
      <c r="T616">
        <v>17252</v>
      </c>
      <c r="V616" t="s">
        <v>1539</v>
      </c>
      <c r="W616">
        <v>17112</v>
      </c>
    </row>
    <row r="617" spans="1:23" x14ac:dyDescent="0.25">
      <c r="A617" s="400" t="s">
        <v>1540</v>
      </c>
      <c r="B617">
        <v>17728</v>
      </c>
      <c r="D617" t="s">
        <v>1540</v>
      </c>
      <c r="E617">
        <v>17616</v>
      </c>
      <c r="G617" t="s">
        <v>1540</v>
      </c>
      <c r="H617">
        <v>17970</v>
      </c>
      <c r="J617" t="s">
        <v>1540</v>
      </c>
      <c r="K617">
        <v>17824</v>
      </c>
      <c r="M617" t="s">
        <v>1540</v>
      </c>
      <c r="N617">
        <v>17540</v>
      </c>
      <c r="P617" t="s">
        <v>1540</v>
      </c>
      <c r="Q617">
        <v>17252</v>
      </c>
      <c r="S617" t="s">
        <v>1540</v>
      </c>
      <c r="T617">
        <v>17112</v>
      </c>
      <c r="V617" t="s">
        <v>1540</v>
      </c>
      <c r="W617">
        <v>17123</v>
      </c>
    </row>
    <row r="618" spans="1:23" x14ac:dyDescent="0.25">
      <c r="A618" s="400" t="s">
        <v>1541</v>
      </c>
      <c r="B618">
        <v>852</v>
      </c>
      <c r="D618" t="s">
        <v>1541</v>
      </c>
      <c r="E618">
        <v>112</v>
      </c>
      <c r="G618" t="s">
        <v>1541</v>
      </c>
      <c r="H618">
        <v>0</v>
      </c>
      <c r="J618" t="s">
        <v>1541</v>
      </c>
      <c r="K618">
        <v>146</v>
      </c>
      <c r="M618" t="s">
        <v>1541</v>
      </c>
      <c r="N618">
        <v>284</v>
      </c>
      <c r="P618" t="s">
        <v>1541</v>
      </c>
      <c r="Q618">
        <v>288</v>
      </c>
      <c r="S618" t="s">
        <v>1541</v>
      </c>
      <c r="T618">
        <v>140</v>
      </c>
      <c r="V618" t="s">
        <v>1541</v>
      </c>
      <c r="W618">
        <v>0</v>
      </c>
    </row>
    <row r="619" spans="1:23" x14ac:dyDescent="0.25">
      <c r="A619" s="400" t="s">
        <v>1542</v>
      </c>
      <c r="B619">
        <v>17728</v>
      </c>
      <c r="D619" t="s">
        <v>1542</v>
      </c>
      <c r="E619">
        <v>17616</v>
      </c>
      <c r="G619" t="s">
        <v>1542</v>
      </c>
      <c r="H619">
        <v>17970</v>
      </c>
      <c r="J619" t="s">
        <v>1542</v>
      </c>
      <c r="K619">
        <v>17824</v>
      </c>
      <c r="M619" t="s">
        <v>1542</v>
      </c>
      <c r="N619">
        <v>17540</v>
      </c>
      <c r="P619" t="s">
        <v>1542</v>
      </c>
      <c r="Q619">
        <v>17252</v>
      </c>
      <c r="S619" t="s">
        <v>1542</v>
      </c>
      <c r="T619">
        <v>17112</v>
      </c>
      <c r="V619" t="s">
        <v>1542</v>
      </c>
      <c r="W619">
        <v>17123</v>
      </c>
    </row>
    <row r="620" spans="1:23" x14ac:dyDescent="0.25">
      <c r="A620" s="400" t="s">
        <v>1543</v>
      </c>
      <c r="B620">
        <v>18580</v>
      </c>
      <c r="D620" t="s">
        <v>1543</v>
      </c>
      <c r="E620">
        <v>17728</v>
      </c>
      <c r="G620" t="s">
        <v>1543</v>
      </c>
      <c r="H620">
        <v>17970</v>
      </c>
      <c r="J620" t="s">
        <v>1543</v>
      </c>
      <c r="K620">
        <v>17970</v>
      </c>
      <c r="M620" t="s">
        <v>1543</v>
      </c>
      <c r="N620">
        <v>17824</v>
      </c>
      <c r="P620" t="s">
        <v>1543</v>
      </c>
      <c r="Q620">
        <v>17540</v>
      </c>
      <c r="S620" t="s">
        <v>1543</v>
      </c>
      <c r="T620">
        <v>17252</v>
      </c>
      <c r="V620" t="s">
        <v>1543</v>
      </c>
      <c r="W620">
        <v>17123</v>
      </c>
    </row>
    <row r="621" spans="1:23" x14ac:dyDescent="0.25">
      <c r="A621" s="400" t="s">
        <v>1544</v>
      </c>
      <c r="B621">
        <v>3.09</v>
      </c>
      <c r="D621" t="s">
        <v>1544</v>
      </c>
      <c r="E621">
        <v>3.17</v>
      </c>
      <c r="G621" t="s">
        <v>1544</v>
      </c>
      <c r="H621">
        <v>3.21</v>
      </c>
      <c r="J621" t="s">
        <v>1544</v>
      </c>
      <c r="K621">
        <v>3.25</v>
      </c>
      <c r="M621" t="s">
        <v>1544</v>
      </c>
      <c r="N621">
        <v>3.29</v>
      </c>
      <c r="P621" t="s">
        <v>1544</v>
      </c>
      <c r="Q621">
        <v>3.33</v>
      </c>
      <c r="S621" t="s">
        <v>1544</v>
      </c>
      <c r="T621">
        <v>3.37</v>
      </c>
      <c r="V621" t="s">
        <v>1544</v>
      </c>
      <c r="W621">
        <v>3.41</v>
      </c>
    </row>
    <row r="622" spans="1:23" x14ac:dyDescent="0.25">
      <c r="A622" s="400" t="s">
        <v>1545</v>
      </c>
      <c r="B622">
        <v>609.22</v>
      </c>
      <c r="D622" t="s">
        <v>1545</v>
      </c>
      <c r="E622">
        <v>592.14</v>
      </c>
      <c r="G622" t="s">
        <v>1545</v>
      </c>
      <c r="H622">
        <v>597.4</v>
      </c>
      <c r="J622" t="s">
        <v>1545</v>
      </c>
      <c r="K622">
        <v>586.70000000000005</v>
      </c>
      <c r="M622" t="s">
        <v>1545</v>
      </c>
      <c r="N622">
        <v>571.70000000000005</v>
      </c>
      <c r="P622" t="s">
        <v>1545</v>
      </c>
      <c r="Q622">
        <v>556.70000000000005</v>
      </c>
      <c r="S622" t="s">
        <v>1545</v>
      </c>
      <c r="T622">
        <v>546.70000000000005</v>
      </c>
      <c r="V622" t="s">
        <v>1545</v>
      </c>
      <c r="W622">
        <v>541.70000000000005</v>
      </c>
    </row>
    <row r="623" spans="1:23" x14ac:dyDescent="0.25">
      <c r="A623" s="400" t="s">
        <v>1546</v>
      </c>
      <c r="B623">
        <v>1882</v>
      </c>
      <c r="D623" t="s">
        <v>1546</v>
      </c>
      <c r="E623">
        <v>1877</v>
      </c>
      <c r="G623" t="s">
        <v>1546</v>
      </c>
      <c r="H623">
        <v>1918</v>
      </c>
      <c r="J623" t="s">
        <v>1546</v>
      </c>
      <c r="K623">
        <v>1907</v>
      </c>
      <c r="M623" t="s">
        <v>1546</v>
      </c>
      <c r="N623">
        <v>1881</v>
      </c>
      <c r="P623" t="s">
        <v>1546</v>
      </c>
      <c r="Q623">
        <v>1854</v>
      </c>
      <c r="S623" t="s">
        <v>1546</v>
      </c>
      <c r="T623">
        <v>1842</v>
      </c>
      <c r="V623" t="s">
        <v>1546</v>
      </c>
      <c r="W623">
        <v>1847</v>
      </c>
    </row>
    <row r="624" spans="1:23" x14ac:dyDescent="0.25">
      <c r="A624" s="400" t="s">
        <v>1547</v>
      </c>
      <c r="B624">
        <v>1972</v>
      </c>
      <c r="D624" t="s">
        <v>1547</v>
      </c>
      <c r="E624">
        <v>1882</v>
      </c>
      <c r="G624" t="s">
        <v>1547</v>
      </c>
      <c r="H624">
        <v>1877</v>
      </c>
      <c r="J624" t="s">
        <v>1547</v>
      </c>
      <c r="K624">
        <v>1918</v>
      </c>
      <c r="M624" t="s">
        <v>1547</v>
      </c>
      <c r="N624">
        <v>1907</v>
      </c>
      <c r="P624" t="s">
        <v>1547</v>
      </c>
      <c r="Q624">
        <v>1881</v>
      </c>
      <c r="S624" t="s">
        <v>1547</v>
      </c>
      <c r="T624">
        <v>1854</v>
      </c>
      <c r="V624" t="s">
        <v>1547</v>
      </c>
      <c r="W624">
        <v>1842</v>
      </c>
    </row>
    <row r="625" spans="1:23" x14ac:dyDescent="0.25">
      <c r="A625" s="400" t="s">
        <v>1548</v>
      </c>
      <c r="B625">
        <v>1882</v>
      </c>
      <c r="D625" t="s">
        <v>1548</v>
      </c>
      <c r="E625">
        <v>1877</v>
      </c>
      <c r="G625" t="s">
        <v>1548</v>
      </c>
      <c r="H625">
        <v>1918</v>
      </c>
      <c r="J625" t="s">
        <v>1548</v>
      </c>
      <c r="K625">
        <v>1907</v>
      </c>
      <c r="M625" t="s">
        <v>1548</v>
      </c>
      <c r="N625">
        <v>1881</v>
      </c>
      <c r="P625" t="s">
        <v>1548</v>
      </c>
      <c r="Q625">
        <v>1854</v>
      </c>
      <c r="S625" t="s">
        <v>1548</v>
      </c>
      <c r="T625">
        <v>1842</v>
      </c>
      <c r="V625" t="s">
        <v>1548</v>
      </c>
      <c r="W625">
        <v>1847</v>
      </c>
    </row>
    <row r="626" spans="1:23" x14ac:dyDescent="0.25">
      <c r="A626" s="400" t="s">
        <v>1549</v>
      </c>
      <c r="B626">
        <v>90</v>
      </c>
      <c r="D626" t="s">
        <v>1549</v>
      </c>
      <c r="E626">
        <v>5</v>
      </c>
      <c r="G626" t="s">
        <v>1549</v>
      </c>
      <c r="H626">
        <v>0</v>
      </c>
      <c r="J626" t="s">
        <v>1549</v>
      </c>
      <c r="K626">
        <v>11</v>
      </c>
      <c r="M626" t="s">
        <v>1549</v>
      </c>
      <c r="N626">
        <v>26</v>
      </c>
      <c r="P626" t="s">
        <v>1549</v>
      </c>
      <c r="Q626">
        <v>27</v>
      </c>
      <c r="S626" t="s">
        <v>1549</v>
      </c>
      <c r="T626">
        <v>12</v>
      </c>
      <c r="V626" t="s">
        <v>1549</v>
      </c>
      <c r="W626">
        <v>0</v>
      </c>
    </row>
    <row r="627" spans="1:23" x14ac:dyDescent="0.25">
      <c r="A627" s="400" t="s">
        <v>1550</v>
      </c>
      <c r="B627">
        <v>1882</v>
      </c>
      <c r="D627" t="s">
        <v>1550</v>
      </c>
      <c r="E627">
        <v>1877</v>
      </c>
      <c r="G627" t="s">
        <v>1550</v>
      </c>
      <c r="H627">
        <v>1918</v>
      </c>
      <c r="J627" t="s">
        <v>1550</v>
      </c>
      <c r="K627">
        <v>1907</v>
      </c>
      <c r="M627" t="s">
        <v>1550</v>
      </c>
      <c r="N627">
        <v>1881</v>
      </c>
      <c r="P627" t="s">
        <v>1550</v>
      </c>
      <c r="Q627">
        <v>1854</v>
      </c>
      <c r="S627" t="s">
        <v>1550</v>
      </c>
      <c r="T627">
        <v>1842</v>
      </c>
      <c r="V627" t="s">
        <v>1550</v>
      </c>
      <c r="W627">
        <v>1847</v>
      </c>
    </row>
    <row r="628" spans="1:23" x14ac:dyDescent="0.25">
      <c r="A628" s="400" t="s">
        <v>1551</v>
      </c>
      <c r="B628">
        <v>1972</v>
      </c>
      <c r="D628" t="s">
        <v>1551</v>
      </c>
      <c r="E628">
        <v>1882</v>
      </c>
      <c r="G628" t="s">
        <v>1551</v>
      </c>
      <c r="H628">
        <v>1918</v>
      </c>
      <c r="J628" t="s">
        <v>1551</v>
      </c>
      <c r="K628">
        <v>1918</v>
      </c>
      <c r="M628" t="s">
        <v>1551</v>
      </c>
      <c r="N628">
        <v>1907</v>
      </c>
      <c r="P628" t="s">
        <v>1551</v>
      </c>
      <c r="Q628">
        <v>1881</v>
      </c>
      <c r="S628" t="s">
        <v>1551</v>
      </c>
      <c r="T628">
        <v>1854</v>
      </c>
      <c r="V628" t="s">
        <v>1551</v>
      </c>
      <c r="W628">
        <v>1847</v>
      </c>
    </row>
    <row r="629" spans="1:23" x14ac:dyDescent="0.25">
      <c r="A629" s="400"/>
      <c r="B629">
        <v>0</v>
      </c>
      <c r="E629">
        <v>0</v>
      </c>
      <c r="H629">
        <v>0</v>
      </c>
      <c r="K629">
        <v>0</v>
      </c>
      <c r="N629">
        <v>0</v>
      </c>
      <c r="Q629">
        <v>0</v>
      </c>
      <c r="T629">
        <v>0</v>
      </c>
      <c r="W629">
        <v>0</v>
      </c>
    </row>
    <row r="630" spans="1:23" x14ac:dyDescent="0.25">
      <c r="A630" s="400"/>
      <c r="B630">
        <v>0</v>
      </c>
      <c r="E630">
        <v>0</v>
      </c>
      <c r="H630">
        <v>0</v>
      </c>
      <c r="K630">
        <v>0</v>
      </c>
      <c r="N630">
        <v>0</v>
      </c>
      <c r="Q630">
        <v>0</v>
      </c>
      <c r="T630">
        <v>0</v>
      </c>
      <c r="W630">
        <v>0</v>
      </c>
    </row>
    <row r="631" spans="1:23" x14ac:dyDescent="0.25">
      <c r="A631" s="400" t="s">
        <v>1552</v>
      </c>
      <c r="B631">
        <v>3558262</v>
      </c>
      <c r="D631" t="s">
        <v>1552</v>
      </c>
      <c r="E631">
        <v>3520358</v>
      </c>
      <c r="G631" t="s">
        <v>1552</v>
      </c>
      <c r="H631">
        <v>3476201</v>
      </c>
      <c r="J631" t="s">
        <v>1552</v>
      </c>
      <c r="K631">
        <v>3438096</v>
      </c>
      <c r="M631" t="s">
        <v>1552</v>
      </c>
      <c r="N631">
        <v>3369047</v>
      </c>
      <c r="P631" t="s">
        <v>1552</v>
      </c>
      <c r="Q631">
        <v>3298463</v>
      </c>
      <c r="S631" t="s">
        <v>1552</v>
      </c>
      <c r="T631">
        <v>3261300</v>
      </c>
      <c r="V631" t="s">
        <v>1552</v>
      </c>
      <c r="W631">
        <v>3258102</v>
      </c>
    </row>
    <row r="632" spans="1:23" x14ac:dyDescent="0.25">
      <c r="A632" s="400" t="s">
        <v>1553</v>
      </c>
      <c r="B632">
        <v>168747</v>
      </c>
      <c r="D632" t="s">
        <v>1553</v>
      </c>
      <c r="E632">
        <v>73487</v>
      </c>
      <c r="G632" t="s">
        <v>1553</v>
      </c>
      <c r="H632">
        <v>79361</v>
      </c>
      <c r="J632" t="s">
        <v>1553</v>
      </c>
      <c r="K632">
        <v>72867</v>
      </c>
      <c r="M632" t="s">
        <v>1553</v>
      </c>
      <c r="N632">
        <v>103430</v>
      </c>
      <c r="P632" t="s">
        <v>1553</v>
      </c>
      <c r="Q632">
        <v>104274</v>
      </c>
      <c r="S632" t="s">
        <v>1553</v>
      </c>
      <c r="T632">
        <v>70148</v>
      </c>
      <c r="V632" t="s">
        <v>1553</v>
      </c>
      <c r="W632">
        <v>35811</v>
      </c>
    </row>
    <row r="633" spans="1:23" x14ac:dyDescent="0.25">
      <c r="A633" s="400" t="s">
        <v>1554</v>
      </c>
      <c r="B633">
        <v>113233</v>
      </c>
      <c r="D633" t="s">
        <v>1554</v>
      </c>
      <c r="E633">
        <v>115595</v>
      </c>
      <c r="G633" t="s">
        <v>1554</v>
      </c>
      <c r="H633">
        <v>201002</v>
      </c>
      <c r="J633" t="s">
        <v>1554</v>
      </c>
      <c r="K633">
        <v>203003</v>
      </c>
      <c r="M633" t="s">
        <v>1554</v>
      </c>
      <c r="N633">
        <v>205005</v>
      </c>
      <c r="P633" t="s">
        <v>1554</v>
      </c>
      <c r="Q633">
        <v>207036</v>
      </c>
      <c r="S633" t="s">
        <v>1554</v>
      </c>
      <c r="T633">
        <v>209097</v>
      </c>
      <c r="V633" t="s">
        <v>1554</v>
      </c>
      <c r="W633">
        <v>211158</v>
      </c>
    </row>
    <row r="634" spans="1:23" x14ac:dyDescent="0.25">
      <c r="A634" s="400" t="s">
        <v>1430</v>
      </c>
      <c r="B634">
        <v>408370</v>
      </c>
      <c r="D634" t="s">
        <v>1430</v>
      </c>
      <c r="E634">
        <v>420925</v>
      </c>
      <c r="G634" t="s">
        <v>1430</v>
      </c>
      <c r="H634">
        <v>543703</v>
      </c>
      <c r="J634" t="s">
        <v>1430</v>
      </c>
      <c r="K634">
        <v>549117</v>
      </c>
      <c r="M634" t="s">
        <v>1430</v>
      </c>
      <c r="N634">
        <v>554530</v>
      </c>
      <c r="P634" t="s">
        <v>1430</v>
      </c>
      <c r="Q634">
        <v>560025</v>
      </c>
      <c r="S634" t="s">
        <v>1430</v>
      </c>
      <c r="T634">
        <v>565600</v>
      </c>
      <c r="V634" t="s">
        <v>1430</v>
      </c>
      <c r="W634">
        <v>571175</v>
      </c>
    </row>
    <row r="635" spans="1:23" x14ac:dyDescent="0.25">
      <c r="A635" s="400" t="s">
        <v>1555</v>
      </c>
      <c r="B635">
        <v>308349</v>
      </c>
      <c r="D635" t="s">
        <v>1555</v>
      </c>
      <c r="E635">
        <v>297427</v>
      </c>
      <c r="G635" t="s">
        <v>1555</v>
      </c>
      <c r="H635">
        <v>294460</v>
      </c>
      <c r="J635" t="s">
        <v>1555</v>
      </c>
      <c r="K635">
        <v>290866</v>
      </c>
      <c r="M635" t="s">
        <v>1555</v>
      </c>
      <c r="N635">
        <v>287746</v>
      </c>
      <c r="P635" t="s">
        <v>1555</v>
      </c>
      <c r="Q635">
        <v>282061</v>
      </c>
      <c r="S635" t="s">
        <v>1555</v>
      </c>
      <c r="T635">
        <v>276231</v>
      </c>
      <c r="V635" t="s">
        <v>1555</v>
      </c>
      <c r="W635">
        <v>273185</v>
      </c>
    </row>
    <row r="636" spans="1:23" x14ac:dyDescent="0.25">
      <c r="A636" s="400" t="s">
        <v>1556</v>
      </c>
      <c r="B636">
        <v>31915</v>
      </c>
      <c r="D636" t="s">
        <v>1556</v>
      </c>
      <c r="E636">
        <v>30823</v>
      </c>
      <c r="G636" t="s">
        <v>1556</v>
      </c>
      <c r="H636">
        <v>30581</v>
      </c>
      <c r="J636" t="s">
        <v>1556</v>
      </c>
      <c r="K636">
        <v>30237</v>
      </c>
      <c r="M636" t="s">
        <v>1556</v>
      </c>
      <c r="N636">
        <v>29939</v>
      </c>
      <c r="P636" t="s">
        <v>1556</v>
      </c>
      <c r="Q636">
        <v>29375</v>
      </c>
      <c r="S636" t="s">
        <v>1556</v>
      </c>
      <c r="T636">
        <v>28792</v>
      </c>
      <c r="V636" t="s">
        <v>1556</v>
      </c>
      <c r="W636">
        <v>28507</v>
      </c>
    </row>
    <row r="637" spans="1:23" x14ac:dyDescent="0.25">
      <c r="A637" s="400" t="s">
        <v>1557</v>
      </c>
      <c r="B637">
        <v>32064</v>
      </c>
      <c r="D637" t="s">
        <v>1557</v>
      </c>
      <c r="E637">
        <v>31003</v>
      </c>
      <c r="G637" t="s">
        <v>1557</v>
      </c>
      <c r="H637">
        <v>30819</v>
      </c>
      <c r="J637" t="s">
        <v>1557</v>
      </c>
      <c r="K637">
        <v>30505</v>
      </c>
      <c r="M637" t="s">
        <v>1557</v>
      </c>
      <c r="N637">
        <v>30233</v>
      </c>
      <c r="P637" t="s">
        <v>1557</v>
      </c>
      <c r="Q637">
        <v>29690</v>
      </c>
      <c r="S637" t="s">
        <v>1557</v>
      </c>
      <c r="T637">
        <v>29125</v>
      </c>
      <c r="V637" t="s">
        <v>1557</v>
      </c>
      <c r="W637">
        <v>28885</v>
      </c>
    </row>
    <row r="638" spans="1:23" x14ac:dyDescent="0.25">
      <c r="A638" s="400" t="s">
        <v>1558</v>
      </c>
      <c r="B638">
        <v>0</v>
      </c>
      <c r="D638" t="s">
        <v>1558</v>
      </c>
      <c r="E638">
        <v>0</v>
      </c>
      <c r="G638" t="s">
        <v>1558</v>
      </c>
      <c r="H638">
        <v>169100</v>
      </c>
      <c r="J638" t="s">
        <v>1558</v>
      </c>
      <c r="K638">
        <v>167001</v>
      </c>
      <c r="M638" t="s">
        <v>1558</v>
      </c>
      <c r="N638">
        <v>165176</v>
      </c>
      <c r="P638" t="s">
        <v>1558</v>
      </c>
      <c r="Q638">
        <v>161884</v>
      </c>
      <c r="S638" t="s">
        <v>1558</v>
      </c>
      <c r="T638">
        <v>158508</v>
      </c>
      <c r="V638" t="s">
        <v>1558</v>
      </c>
      <c r="W638">
        <v>156729</v>
      </c>
    </row>
    <row r="639" spans="1:23" x14ac:dyDescent="0.25">
      <c r="A639" s="400" t="s">
        <v>1559</v>
      </c>
      <c r="B639">
        <v>172635</v>
      </c>
      <c r="D639" t="s">
        <v>1559</v>
      </c>
      <c r="E639">
        <v>171567</v>
      </c>
      <c r="G639" t="s">
        <v>1559</v>
      </c>
      <c r="H639">
        <v>175008</v>
      </c>
      <c r="J639" t="s">
        <v>1559</v>
      </c>
      <c r="K639">
        <v>173593</v>
      </c>
      <c r="M639" t="s">
        <v>1559</v>
      </c>
      <c r="N639">
        <v>170847</v>
      </c>
      <c r="P639" t="s">
        <v>1559</v>
      </c>
      <c r="Q639">
        <v>168023</v>
      </c>
      <c r="S639" t="s">
        <v>1559</v>
      </c>
      <c r="T639">
        <v>166651</v>
      </c>
      <c r="V639" t="s">
        <v>1559</v>
      </c>
      <c r="W639">
        <v>166773</v>
      </c>
    </row>
    <row r="640" spans="1:23" x14ac:dyDescent="0.25">
      <c r="A640" s="400" t="s">
        <v>1560</v>
      </c>
      <c r="B640">
        <v>9512</v>
      </c>
      <c r="D640" t="s">
        <v>1560</v>
      </c>
      <c r="E640">
        <v>10580</v>
      </c>
      <c r="G640" t="s">
        <v>1560</v>
      </c>
      <c r="H640">
        <v>7139</v>
      </c>
      <c r="J640" t="s">
        <v>1560</v>
      </c>
      <c r="K640">
        <v>8554</v>
      </c>
      <c r="M640" t="s">
        <v>1560</v>
      </c>
      <c r="N640">
        <v>11300</v>
      </c>
      <c r="P640" t="s">
        <v>1560</v>
      </c>
      <c r="Q640">
        <v>14124</v>
      </c>
      <c r="S640" t="s">
        <v>1560</v>
      </c>
      <c r="T640">
        <v>15496</v>
      </c>
      <c r="V640" t="s">
        <v>1560</v>
      </c>
      <c r="W640">
        <v>15374</v>
      </c>
    </row>
    <row r="641" spans="1:23" x14ac:dyDescent="0.25">
      <c r="A641" s="400" t="s">
        <v>1561</v>
      </c>
      <c r="B641">
        <v>28849</v>
      </c>
      <c r="D641" t="s">
        <v>1561</v>
      </c>
      <c r="E641">
        <v>28529</v>
      </c>
      <c r="G641" t="s">
        <v>1561</v>
      </c>
      <c r="H641">
        <v>28192</v>
      </c>
      <c r="J641" t="s">
        <v>1561</v>
      </c>
      <c r="K641">
        <v>27870</v>
      </c>
      <c r="M641" t="s">
        <v>1561</v>
      </c>
      <c r="N641">
        <v>27314</v>
      </c>
      <c r="P641" t="s">
        <v>1561</v>
      </c>
      <c r="Q641">
        <v>26746</v>
      </c>
      <c r="S641" t="s">
        <v>1561</v>
      </c>
      <c r="T641">
        <v>26446</v>
      </c>
      <c r="V641" t="s">
        <v>1561</v>
      </c>
      <c r="W641">
        <v>26425</v>
      </c>
    </row>
    <row r="642" spans="1:23" x14ac:dyDescent="0.25">
      <c r="A642" s="400" t="s">
        <v>1562</v>
      </c>
      <c r="B642">
        <v>31907</v>
      </c>
      <c r="D642" t="s">
        <v>1562</v>
      </c>
      <c r="E642">
        <v>31550</v>
      </c>
      <c r="G642" t="s">
        <v>1562</v>
      </c>
      <c r="H642">
        <v>31175</v>
      </c>
      <c r="J642" t="s">
        <v>1562</v>
      </c>
      <c r="K642">
        <v>30815</v>
      </c>
      <c r="M642" t="s">
        <v>1562</v>
      </c>
      <c r="N642">
        <v>30201</v>
      </c>
      <c r="P642" t="s">
        <v>1562</v>
      </c>
      <c r="Q642">
        <v>29569</v>
      </c>
      <c r="S642" t="s">
        <v>1562</v>
      </c>
      <c r="T642">
        <v>29237</v>
      </c>
      <c r="V642" t="s">
        <v>1562</v>
      </c>
      <c r="W642">
        <v>29214</v>
      </c>
    </row>
    <row r="643" spans="1:23" x14ac:dyDescent="0.25">
      <c r="A643" s="400" t="s">
        <v>1563</v>
      </c>
      <c r="B643">
        <v>0</v>
      </c>
      <c r="D643" t="s">
        <v>1563</v>
      </c>
      <c r="E643">
        <v>0</v>
      </c>
      <c r="G643" t="s">
        <v>1563</v>
      </c>
      <c r="H643">
        <v>0</v>
      </c>
      <c r="J643" t="s">
        <v>1563</v>
      </c>
      <c r="K643">
        <v>0</v>
      </c>
      <c r="M643" t="s">
        <v>1563</v>
      </c>
      <c r="N643">
        <v>0</v>
      </c>
      <c r="P643" t="s">
        <v>1563</v>
      </c>
      <c r="Q643">
        <v>0</v>
      </c>
      <c r="S643" t="s">
        <v>1563</v>
      </c>
      <c r="T643">
        <v>0</v>
      </c>
      <c r="V643" t="s">
        <v>1563</v>
      </c>
      <c r="W643">
        <v>0</v>
      </c>
    </row>
    <row r="644" spans="1:23" x14ac:dyDescent="0.25">
      <c r="A644" s="400" t="s">
        <v>1564</v>
      </c>
      <c r="B644">
        <v>18580</v>
      </c>
      <c r="D644" t="s">
        <v>1564</v>
      </c>
      <c r="E644">
        <v>17728</v>
      </c>
      <c r="G644" t="s">
        <v>1564</v>
      </c>
      <c r="H644">
        <v>17970</v>
      </c>
      <c r="J644" t="s">
        <v>1564</v>
      </c>
      <c r="K644">
        <v>17970</v>
      </c>
      <c r="M644" t="s">
        <v>1564</v>
      </c>
      <c r="N644">
        <v>17824</v>
      </c>
      <c r="P644" t="s">
        <v>1564</v>
      </c>
      <c r="Q644">
        <v>17540</v>
      </c>
      <c r="S644" t="s">
        <v>1564</v>
      </c>
      <c r="T644">
        <v>17252</v>
      </c>
      <c r="V644" t="s">
        <v>1564</v>
      </c>
      <c r="W644">
        <v>17123</v>
      </c>
    </row>
    <row r="645" spans="1:23" x14ac:dyDescent="0.25">
      <c r="A645" s="400" t="s">
        <v>1565</v>
      </c>
      <c r="B645">
        <v>1972</v>
      </c>
      <c r="D645" t="s">
        <v>1565</v>
      </c>
      <c r="E645">
        <v>1882</v>
      </c>
      <c r="G645" t="s">
        <v>1565</v>
      </c>
      <c r="H645">
        <v>1918</v>
      </c>
      <c r="J645" t="s">
        <v>1565</v>
      </c>
      <c r="K645">
        <v>1918</v>
      </c>
      <c r="M645" t="s">
        <v>1565</v>
      </c>
      <c r="N645">
        <v>1907</v>
      </c>
      <c r="P645" t="s">
        <v>1565</v>
      </c>
      <c r="Q645">
        <v>1881</v>
      </c>
      <c r="S645" t="s">
        <v>1565</v>
      </c>
      <c r="T645">
        <v>1854</v>
      </c>
      <c r="V645" t="s">
        <v>1565</v>
      </c>
      <c r="W645">
        <v>1847</v>
      </c>
    </row>
    <row r="646" spans="1:23" x14ac:dyDescent="0.25">
      <c r="A646" s="400" t="s">
        <v>1566</v>
      </c>
      <c r="B646">
        <v>31091</v>
      </c>
      <c r="D646" t="s">
        <v>1566</v>
      </c>
      <c r="E646">
        <v>36254</v>
      </c>
      <c r="G646" t="s">
        <v>1566</v>
      </c>
      <c r="H646">
        <v>31091</v>
      </c>
      <c r="J646" t="s">
        <v>1566</v>
      </c>
      <c r="K646">
        <v>10440</v>
      </c>
      <c r="M646" t="s">
        <v>1566</v>
      </c>
      <c r="N646">
        <v>10440</v>
      </c>
      <c r="P646" t="s">
        <v>1566</v>
      </c>
      <c r="Q646">
        <v>10440</v>
      </c>
      <c r="S646" t="s">
        <v>1566</v>
      </c>
      <c r="T646">
        <v>10440</v>
      </c>
      <c r="V646" t="s">
        <v>1566</v>
      </c>
      <c r="W646">
        <v>10440</v>
      </c>
    </row>
    <row r="647" spans="1:23" x14ac:dyDescent="0.25">
      <c r="A647" s="400" t="s">
        <v>1567</v>
      </c>
      <c r="B647">
        <v>111079</v>
      </c>
      <c r="D647" t="s">
        <v>1567</v>
      </c>
      <c r="E647">
        <v>151840</v>
      </c>
      <c r="G647" t="s">
        <v>1567</v>
      </c>
      <c r="H647">
        <v>110981</v>
      </c>
      <c r="J647" t="s">
        <v>1567</v>
      </c>
      <c r="K647">
        <v>155000</v>
      </c>
      <c r="M647" t="s">
        <v>1567</v>
      </c>
      <c r="N647">
        <v>160000</v>
      </c>
      <c r="P647" t="s">
        <v>1567</v>
      </c>
      <c r="Q647">
        <v>165000</v>
      </c>
      <c r="S647" t="s">
        <v>1567</v>
      </c>
      <c r="T647">
        <v>165000</v>
      </c>
      <c r="V647" t="s">
        <v>1567</v>
      </c>
      <c r="W647">
        <v>165000</v>
      </c>
    </row>
    <row r="648" spans="1:23" x14ac:dyDescent="0.25">
      <c r="A648" s="400" t="s">
        <v>1568</v>
      </c>
      <c r="B648">
        <v>5917</v>
      </c>
      <c r="D648" t="s">
        <v>1568</v>
      </c>
      <c r="E648">
        <v>0</v>
      </c>
      <c r="G648" t="s">
        <v>1568</v>
      </c>
      <c r="H648">
        <v>0</v>
      </c>
      <c r="J648" t="s">
        <v>1568</v>
      </c>
      <c r="K648">
        <v>0</v>
      </c>
      <c r="M648" t="s">
        <v>1568</v>
      </c>
      <c r="N648">
        <v>0</v>
      </c>
      <c r="P648" t="s">
        <v>1568</v>
      </c>
      <c r="Q648">
        <v>0</v>
      </c>
      <c r="S648" t="s">
        <v>1568</v>
      </c>
      <c r="T648">
        <v>0</v>
      </c>
      <c r="V648" t="s">
        <v>1568</v>
      </c>
      <c r="W648">
        <v>0</v>
      </c>
    </row>
    <row r="649" spans="1:23" x14ac:dyDescent="0.25">
      <c r="A649" s="400" t="s">
        <v>1569</v>
      </c>
      <c r="B649">
        <v>4970300</v>
      </c>
      <c r="D649" t="s">
        <v>1569</v>
      </c>
      <c r="E649">
        <v>4867040</v>
      </c>
      <c r="G649" t="s">
        <v>1569</v>
      </c>
      <c r="H649">
        <v>5166519</v>
      </c>
      <c r="J649" t="s">
        <v>1569</v>
      </c>
      <c r="K649">
        <v>5186972</v>
      </c>
      <c r="M649" t="s">
        <v>1569</v>
      </c>
      <c r="N649">
        <v>5154059</v>
      </c>
      <c r="P649" t="s">
        <v>1569</v>
      </c>
      <c r="Q649">
        <v>5085251</v>
      </c>
      <c r="S649" t="s">
        <v>1569</v>
      </c>
      <c r="T649">
        <v>5010297</v>
      </c>
      <c r="V649" t="s">
        <v>1569</v>
      </c>
      <c r="W649">
        <v>4974868</v>
      </c>
    </row>
    <row r="650" spans="1:23" x14ac:dyDescent="0.25">
      <c r="A650" s="400"/>
      <c r="B650">
        <v>0</v>
      </c>
      <c r="E650">
        <v>0</v>
      </c>
      <c r="H650">
        <v>0</v>
      </c>
      <c r="K650">
        <v>0</v>
      </c>
      <c r="N650">
        <v>0</v>
      </c>
      <c r="Q650">
        <v>0</v>
      </c>
      <c r="T650">
        <v>0</v>
      </c>
      <c r="W650">
        <v>0</v>
      </c>
    </row>
    <row r="651" spans="1:23" x14ac:dyDescent="0.25">
      <c r="A651" s="400"/>
      <c r="B651">
        <v>0</v>
      </c>
      <c r="D651" t="s">
        <v>1570</v>
      </c>
      <c r="E651">
        <v>260993618</v>
      </c>
      <c r="G651" t="s">
        <v>1570</v>
      </c>
      <c r="H651">
        <v>270053615</v>
      </c>
      <c r="J651" t="s">
        <v>1570</v>
      </c>
      <c r="K651">
        <v>278155223</v>
      </c>
      <c r="M651" t="s">
        <v>1570</v>
      </c>
      <c r="N651">
        <v>286499880</v>
      </c>
      <c r="P651" t="s">
        <v>1570</v>
      </c>
      <c r="Q651">
        <v>295094876</v>
      </c>
      <c r="S651" t="s">
        <v>1570</v>
      </c>
      <c r="T651">
        <v>303947722</v>
      </c>
      <c r="V651" t="s">
        <v>1570</v>
      </c>
      <c r="W651">
        <v>313066154</v>
      </c>
    </row>
    <row r="652" spans="1:23" x14ac:dyDescent="0.25">
      <c r="A652" s="400" t="s">
        <v>1570</v>
      </c>
      <c r="B652">
        <v>252046215</v>
      </c>
      <c r="D652" t="s">
        <v>1571</v>
      </c>
      <c r="E652">
        <v>5.4</v>
      </c>
      <c r="G652" t="s">
        <v>1571</v>
      </c>
      <c r="H652">
        <v>5.4</v>
      </c>
      <c r="J652" t="s">
        <v>1571</v>
      </c>
      <c r="K652">
        <v>5.4</v>
      </c>
      <c r="M652" t="s">
        <v>1571</v>
      </c>
      <c r="N652">
        <v>5.4</v>
      </c>
      <c r="P652" t="s">
        <v>1571</v>
      </c>
      <c r="Q652">
        <v>5.4</v>
      </c>
      <c r="S652" t="s">
        <v>1571</v>
      </c>
      <c r="T652">
        <v>5.4</v>
      </c>
      <c r="V652" t="s">
        <v>1571</v>
      </c>
      <c r="W652">
        <v>5.4</v>
      </c>
    </row>
    <row r="653" spans="1:23" x14ac:dyDescent="0.25">
      <c r="A653" s="400" t="s">
        <v>1571</v>
      </c>
      <c r="B653">
        <v>5.4</v>
      </c>
      <c r="D653" t="s">
        <v>1572</v>
      </c>
      <c r="E653">
        <v>1409366</v>
      </c>
      <c r="G653" t="s">
        <v>1572</v>
      </c>
      <c r="H653">
        <v>1458290</v>
      </c>
      <c r="J653" t="s">
        <v>1572</v>
      </c>
      <c r="K653">
        <v>1502038</v>
      </c>
      <c r="M653" t="s">
        <v>1572</v>
      </c>
      <c r="N653">
        <v>1547099</v>
      </c>
      <c r="P653" t="s">
        <v>1572</v>
      </c>
      <c r="Q653">
        <v>1593512</v>
      </c>
      <c r="S653" t="s">
        <v>1572</v>
      </c>
      <c r="T653">
        <v>1641318</v>
      </c>
      <c r="V653" t="s">
        <v>1572</v>
      </c>
      <c r="W653">
        <v>1690557</v>
      </c>
    </row>
    <row r="654" spans="1:23" x14ac:dyDescent="0.25">
      <c r="A654" s="400" t="s">
        <v>1572</v>
      </c>
      <c r="B654">
        <v>1361050</v>
      </c>
      <c r="E654">
        <v>0</v>
      </c>
      <c r="H654">
        <v>0</v>
      </c>
      <c r="K654">
        <v>0</v>
      </c>
      <c r="N654">
        <v>0</v>
      </c>
      <c r="Q654">
        <v>0</v>
      </c>
      <c r="T654">
        <v>0</v>
      </c>
      <c r="W654">
        <v>0</v>
      </c>
    </row>
    <row r="655" spans="1:23" x14ac:dyDescent="0.25">
      <c r="A655" s="400"/>
      <c r="B655">
        <v>0</v>
      </c>
      <c r="D655" t="s">
        <v>1573</v>
      </c>
      <c r="E655">
        <v>56741</v>
      </c>
      <c r="G655" t="s">
        <v>1573</v>
      </c>
      <c r="H655">
        <v>55038</v>
      </c>
      <c r="J655" t="s">
        <v>1573</v>
      </c>
      <c r="K655">
        <v>55038</v>
      </c>
      <c r="M655" t="s">
        <v>1573</v>
      </c>
      <c r="N655">
        <v>55038</v>
      </c>
      <c r="P655" t="s">
        <v>1573</v>
      </c>
      <c r="Q655">
        <v>55038</v>
      </c>
      <c r="S655" t="s">
        <v>1573</v>
      </c>
      <c r="T655">
        <v>55038</v>
      </c>
      <c r="V655" t="s">
        <v>1573</v>
      </c>
      <c r="W655">
        <v>55038</v>
      </c>
    </row>
    <row r="656" spans="1:23" x14ac:dyDescent="0.25">
      <c r="A656" s="400"/>
      <c r="B656">
        <v>0</v>
      </c>
      <c r="D656" t="s">
        <v>1574</v>
      </c>
      <c r="E656">
        <v>57404</v>
      </c>
      <c r="G656" t="s">
        <v>1574</v>
      </c>
      <c r="H656">
        <v>56488</v>
      </c>
      <c r="J656" t="s">
        <v>1574</v>
      </c>
      <c r="K656">
        <v>56488</v>
      </c>
      <c r="M656" t="s">
        <v>1574</v>
      </c>
      <c r="N656">
        <v>56488</v>
      </c>
      <c r="P656" t="s">
        <v>1574</v>
      </c>
      <c r="Q656">
        <v>56488</v>
      </c>
      <c r="S656" t="s">
        <v>1574</v>
      </c>
      <c r="T656">
        <v>56488</v>
      </c>
      <c r="V656" t="s">
        <v>1574</v>
      </c>
      <c r="W656">
        <v>56488</v>
      </c>
    </row>
    <row r="657" spans="1:23" x14ac:dyDescent="0.25">
      <c r="A657" s="400" t="s">
        <v>1573</v>
      </c>
      <c r="B657">
        <v>57687</v>
      </c>
      <c r="D657" t="s">
        <v>1575</v>
      </c>
      <c r="E657">
        <v>-663</v>
      </c>
      <c r="G657" t="s">
        <v>1575</v>
      </c>
      <c r="H657">
        <v>-1450</v>
      </c>
      <c r="J657" t="s">
        <v>1575</v>
      </c>
      <c r="K657">
        <v>-1450</v>
      </c>
      <c r="M657" t="s">
        <v>1575</v>
      </c>
      <c r="N657">
        <v>-1450</v>
      </c>
      <c r="P657" t="s">
        <v>1575</v>
      </c>
      <c r="Q657">
        <v>-1450</v>
      </c>
      <c r="S657" t="s">
        <v>1575</v>
      </c>
      <c r="T657">
        <v>-1450</v>
      </c>
      <c r="V657" t="s">
        <v>1575</v>
      </c>
      <c r="W657">
        <v>-1450</v>
      </c>
    </row>
    <row r="658" spans="1:23" x14ac:dyDescent="0.25">
      <c r="A658" s="400" t="s">
        <v>1574</v>
      </c>
      <c r="B658">
        <v>57673</v>
      </c>
      <c r="D658" t="s">
        <v>1576</v>
      </c>
      <c r="E658">
        <v>1409366</v>
      </c>
      <c r="G658" t="s">
        <v>1576</v>
      </c>
      <c r="H658">
        <v>1458290</v>
      </c>
      <c r="J658" t="s">
        <v>1576</v>
      </c>
      <c r="K658">
        <v>1502038</v>
      </c>
      <c r="M658" t="s">
        <v>1576</v>
      </c>
      <c r="N658">
        <v>1547099</v>
      </c>
      <c r="P658" t="s">
        <v>1576</v>
      </c>
      <c r="Q658">
        <v>1593512</v>
      </c>
      <c r="S658" t="s">
        <v>1576</v>
      </c>
      <c r="T658">
        <v>1641318</v>
      </c>
      <c r="V658" t="s">
        <v>1576</v>
      </c>
      <c r="W658">
        <v>1690557</v>
      </c>
    </row>
    <row r="659" spans="1:23" x14ac:dyDescent="0.25">
      <c r="A659" s="400" t="s">
        <v>1575</v>
      </c>
      <c r="B659">
        <v>14</v>
      </c>
      <c r="D659" t="s">
        <v>1577</v>
      </c>
      <c r="E659">
        <v>1408703</v>
      </c>
      <c r="G659" t="s">
        <v>1577</v>
      </c>
      <c r="H659">
        <v>1456840</v>
      </c>
      <c r="J659" t="s">
        <v>1577</v>
      </c>
      <c r="K659">
        <v>1500588</v>
      </c>
      <c r="M659" t="s">
        <v>1577</v>
      </c>
      <c r="N659">
        <v>1545649</v>
      </c>
      <c r="P659" t="s">
        <v>1577</v>
      </c>
      <c r="Q659">
        <v>1592062</v>
      </c>
      <c r="S659" t="s">
        <v>1577</v>
      </c>
      <c r="T659">
        <v>1639868</v>
      </c>
      <c r="V659" t="s">
        <v>1577</v>
      </c>
      <c r="W659">
        <v>1689107</v>
      </c>
    </row>
    <row r="660" spans="1:23" x14ac:dyDescent="0.25">
      <c r="A660" s="400" t="s">
        <v>1576</v>
      </c>
      <c r="B660">
        <v>1361050</v>
      </c>
      <c r="E660">
        <v>0</v>
      </c>
      <c r="H660">
        <v>0</v>
      </c>
      <c r="K660">
        <v>0</v>
      </c>
      <c r="N660">
        <v>0</v>
      </c>
      <c r="Q660">
        <v>0</v>
      </c>
      <c r="T660">
        <v>0</v>
      </c>
      <c r="W660">
        <v>0</v>
      </c>
    </row>
    <row r="661" spans="1:23" x14ac:dyDescent="0.25">
      <c r="A661" s="400" t="s">
        <v>1577</v>
      </c>
      <c r="B661">
        <v>1361064</v>
      </c>
      <c r="D661" t="s">
        <v>1578</v>
      </c>
      <c r="E661">
        <v>11146990</v>
      </c>
      <c r="G661" t="s">
        <v>1578</v>
      </c>
      <c r="H661">
        <v>14231100</v>
      </c>
      <c r="J661" t="s">
        <v>1578</v>
      </c>
      <c r="K661">
        <v>14658033</v>
      </c>
      <c r="M661" t="s">
        <v>1578</v>
      </c>
      <c r="N661">
        <v>15097774</v>
      </c>
      <c r="P661" t="s">
        <v>1578</v>
      </c>
      <c r="Q661">
        <v>15550707</v>
      </c>
      <c r="S661" t="s">
        <v>1578</v>
      </c>
      <c r="T661">
        <v>16017228</v>
      </c>
      <c r="V661" t="s">
        <v>1578</v>
      </c>
      <c r="W661">
        <v>16497745</v>
      </c>
    </row>
    <row r="662" spans="1:23" x14ac:dyDescent="0.25">
      <c r="A662" s="400"/>
      <c r="B662">
        <v>0</v>
      </c>
      <c r="D662" t="s">
        <v>1579</v>
      </c>
      <c r="E662">
        <v>10032291</v>
      </c>
      <c r="G662" t="s">
        <v>1579</v>
      </c>
      <c r="H662">
        <v>12807990</v>
      </c>
      <c r="J662" t="s">
        <v>1579</v>
      </c>
      <c r="K662">
        <v>13192229</v>
      </c>
      <c r="M662" t="s">
        <v>1579</v>
      </c>
      <c r="N662">
        <v>13587996</v>
      </c>
      <c r="P662" t="s">
        <v>1579</v>
      </c>
      <c r="Q662">
        <v>13995636</v>
      </c>
      <c r="S662" t="s">
        <v>1579</v>
      </c>
      <c r="T662">
        <v>14415505</v>
      </c>
      <c r="V662" t="s">
        <v>1579</v>
      </c>
      <c r="W662">
        <v>14847970</v>
      </c>
    </row>
    <row r="663" spans="1:23" x14ac:dyDescent="0.25">
      <c r="A663" s="400"/>
      <c r="B663">
        <v>0</v>
      </c>
      <c r="D663" t="s">
        <v>1580</v>
      </c>
      <c r="E663">
        <v>1114699</v>
      </c>
      <c r="G663" t="s">
        <v>1580</v>
      </c>
      <c r="H663">
        <v>1423110</v>
      </c>
      <c r="J663" t="s">
        <v>1580</v>
      </c>
      <c r="K663">
        <v>1465804</v>
      </c>
      <c r="M663" t="s">
        <v>1580</v>
      </c>
      <c r="N663">
        <v>1509778</v>
      </c>
      <c r="P663" t="s">
        <v>1580</v>
      </c>
      <c r="Q663">
        <v>1555071</v>
      </c>
      <c r="S663" t="s">
        <v>1580</v>
      </c>
      <c r="T663">
        <v>1601723</v>
      </c>
      <c r="V663" t="s">
        <v>1580</v>
      </c>
      <c r="W663">
        <v>1649775</v>
      </c>
    </row>
    <row r="664" spans="1:23" x14ac:dyDescent="0.25">
      <c r="A664" s="400" t="s">
        <v>1578</v>
      </c>
      <c r="B664">
        <v>11806750</v>
      </c>
      <c r="D664" t="s">
        <v>1581</v>
      </c>
      <c r="E664">
        <v>5.4</v>
      </c>
      <c r="G664" t="s">
        <v>1581</v>
      </c>
      <c r="H664">
        <v>5.4</v>
      </c>
      <c r="J664" t="s">
        <v>1581</v>
      </c>
      <c r="K664">
        <v>5.4</v>
      </c>
      <c r="M664" t="s">
        <v>1581</v>
      </c>
      <c r="N664">
        <v>5.4</v>
      </c>
      <c r="P664" t="s">
        <v>1581</v>
      </c>
      <c r="Q664">
        <v>5.4</v>
      </c>
      <c r="S664" t="s">
        <v>1581</v>
      </c>
      <c r="T664">
        <v>5.4</v>
      </c>
      <c r="V664" t="s">
        <v>1581</v>
      </c>
      <c r="W664">
        <v>5.4</v>
      </c>
    </row>
    <row r="665" spans="1:23" x14ac:dyDescent="0.25">
      <c r="A665" s="400" t="s">
        <v>1579</v>
      </c>
      <c r="B665">
        <v>10626075</v>
      </c>
      <c r="D665" t="s">
        <v>1582</v>
      </c>
      <c r="E665">
        <v>6019</v>
      </c>
      <c r="G665" t="s">
        <v>1582</v>
      </c>
      <c r="H665">
        <v>7685</v>
      </c>
      <c r="J665" t="s">
        <v>1582</v>
      </c>
      <c r="K665">
        <v>7915</v>
      </c>
      <c r="M665" t="s">
        <v>1582</v>
      </c>
      <c r="N665">
        <v>8153</v>
      </c>
      <c r="P665" t="s">
        <v>1582</v>
      </c>
      <c r="Q665">
        <v>8397</v>
      </c>
      <c r="S665" t="s">
        <v>1582</v>
      </c>
      <c r="T665">
        <v>8649</v>
      </c>
      <c r="V665" t="s">
        <v>1582</v>
      </c>
      <c r="W665">
        <v>8909</v>
      </c>
    </row>
    <row r="666" spans="1:23" x14ac:dyDescent="0.25">
      <c r="A666" s="400" t="s">
        <v>1580</v>
      </c>
      <c r="B666">
        <v>1180675</v>
      </c>
      <c r="D666" t="s">
        <v>1583</v>
      </c>
      <c r="E666">
        <v>5671</v>
      </c>
      <c r="G666" t="s">
        <v>1583</v>
      </c>
      <c r="H666">
        <v>6011</v>
      </c>
      <c r="J666" t="s">
        <v>1583</v>
      </c>
      <c r="K666">
        <v>6011</v>
      </c>
      <c r="M666" t="s">
        <v>1583</v>
      </c>
      <c r="N666">
        <v>6011</v>
      </c>
      <c r="P666" t="s">
        <v>1583</v>
      </c>
      <c r="Q666">
        <v>6011</v>
      </c>
      <c r="S666" t="s">
        <v>1583</v>
      </c>
      <c r="T666">
        <v>6011</v>
      </c>
      <c r="V666" t="s">
        <v>1583</v>
      </c>
      <c r="W666">
        <v>6011</v>
      </c>
    </row>
    <row r="667" spans="1:23" x14ac:dyDescent="0.25">
      <c r="A667" s="400" t="s">
        <v>1581</v>
      </c>
      <c r="B667">
        <v>5.4</v>
      </c>
      <c r="D667" t="s">
        <v>1584</v>
      </c>
      <c r="E667">
        <v>6376</v>
      </c>
      <c r="G667" t="s">
        <v>1584</v>
      </c>
      <c r="H667">
        <v>6019</v>
      </c>
      <c r="J667" t="s">
        <v>1584</v>
      </c>
      <c r="K667">
        <v>7685</v>
      </c>
      <c r="M667" t="s">
        <v>1584</v>
      </c>
      <c r="N667">
        <v>7915</v>
      </c>
      <c r="P667" t="s">
        <v>1584</v>
      </c>
      <c r="Q667">
        <v>8153</v>
      </c>
      <c r="S667" t="s">
        <v>1584</v>
      </c>
      <c r="T667">
        <v>8397</v>
      </c>
      <c r="V667" t="s">
        <v>1584</v>
      </c>
      <c r="W667">
        <v>8649</v>
      </c>
    </row>
    <row r="668" spans="1:23" x14ac:dyDescent="0.25">
      <c r="A668" s="400" t="s">
        <v>1582</v>
      </c>
      <c r="B668">
        <v>6376</v>
      </c>
      <c r="D668" t="s">
        <v>1585</v>
      </c>
      <c r="E668">
        <v>-705</v>
      </c>
      <c r="G668" t="s">
        <v>1585</v>
      </c>
      <c r="H668">
        <v>-8</v>
      </c>
      <c r="J668" t="s">
        <v>1585</v>
      </c>
      <c r="K668">
        <v>-1674</v>
      </c>
      <c r="M668" t="s">
        <v>1585</v>
      </c>
      <c r="N668">
        <v>-1904</v>
      </c>
      <c r="P668" t="s">
        <v>1585</v>
      </c>
      <c r="Q668">
        <v>-2142</v>
      </c>
      <c r="S668" t="s">
        <v>1585</v>
      </c>
      <c r="T668">
        <v>-2386</v>
      </c>
      <c r="V668" t="s">
        <v>1585</v>
      </c>
      <c r="W668">
        <v>-2638</v>
      </c>
    </row>
    <row r="669" spans="1:23" x14ac:dyDescent="0.25">
      <c r="A669" s="400" t="s">
        <v>1583</v>
      </c>
      <c r="B669">
        <v>2855</v>
      </c>
      <c r="D669" t="s">
        <v>1586</v>
      </c>
      <c r="E669">
        <v>6019</v>
      </c>
      <c r="G669" t="s">
        <v>1586</v>
      </c>
      <c r="H669">
        <v>7685</v>
      </c>
      <c r="J669" t="s">
        <v>1586</v>
      </c>
      <c r="K669">
        <v>7915</v>
      </c>
      <c r="M669" t="s">
        <v>1586</v>
      </c>
      <c r="N669">
        <v>8153</v>
      </c>
      <c r="P669" t="s">
        <v>1586</v>
      </c>
      <c r="Q669">
        <v>8397</v>
      </c>
      <c r="S669" t="s">
        <v>1586</v>
      </c>
      <c r="T669">
        <v>8649</v>
      </c>
      <c r="V669" t="s">
        <v>1586</v>
      </c>
      <c r="W669">
        <v>8909</v>
      </c>
    </row>
    <row r="670" spans="1:23" x14ac:dyDescent="0.25">
      <c r="A670" s="400" t="s">
        <v>1584</v>
      </c>
      <c r="B670">
        <v>2856</v>
      </c>
      <c r="D670" t="s">
        <v>1587</v>
      </c>
      <c r="E670">
        <v>5314</v>
      </c>
      <c r="G670" t="s">
        <v>1587</v>
      </c>
      <c r="H670">
        <v>7677</v>
      </c>
      <c r="J670" t="s">
        <v>1587</v>
      </c>
      <c r="K670">
        <v>6241</v>
      </c>
      <c r="M670" t="s">
        <v>1587</v>
      </c>
      <c r="N670">
        <v>6249</v>
      </c>
      <c r="P670" t="s">
        <v>1587</v>
      </c>
      <c r="Q670">
        <v>6255</v>
      </c>
      <c r="S670" t="s">
        <v>1587</v>
      </c>
      <c r="T670">
        <v>6263</v>
      </c>
      <c r="V670" t="s">
        <v>1587</v>
      </c>
      <c r="W670">
        <v>6271</v>
      </c>
    </row>
    <row r="671" spans="1:23" x14ac:dyDescent="0.25">
      <c r="A671" s="400" t="s">
        <v>1585</v>
      </c>
      <c r="B671">
        <v>-1</v>
      </c>
      <c r="D671" t="s">
        <v>1588</v>
      </c>
      <c r="E671">
        <v>1408703</v>
      </c>
      <c r="G671" t="s">
        <v>1588</v>
      </c>
      <c r="H671">
        <v>1456840</v>
      </c>
      <c r="J671" t="s">
        <v>1588</v>
      </c>
      <c r="K671">
        <v>1500588</v>
      </c>
      <c r="M671" t="s">
        <v>1588</v>
      </c>
      <c r="N671">
        <v>1545649</v>
      </c>
      <c r="P671" t="s">
        <v>1588</v>
      </c>
      <c r="Q671">
        <v>1592062</v>
      </c>
      <c r="S671" t="s">
        <v>1588</v>
      </c>
      <c r="T671">
        <v>1639868</v>
      </c>
      <c r="V671" t="s">
        <v>1588</v>
      </c>
      <c r="W671">
        <v>1689107</v>
      </c>
    </row>
    <row r="672" spans="1:23" x14ac:dyDescent="0.25">
      <c r="A672" s="400" t="s">
        <v>1586</v>
      </c>
      <c r="B672">
        <v>6376</v>
      </c>
      <c r="D672" t="s">
        <v>1589</v>
      </c>
      <c r="E672">
        <v>1414017</v>
      </c>
      <c r="G672" t="s">
        <v>1589</v>
      </c>
      <c r="H672">
        <v>1464517</v>
      </c>
      <c r="J672" t="s">
        <v>1589</v>
      </c>
      <c r="K672">
        <v>1506829</v>
      </c>
      <c r="M672" t="s">
        <v>1589</v>
      </c>
      <c r="N672">
        <v>1551898</v>
      </c>
      <c r="P672" t="s">
        <v>1589</v>
      </c>
      <c r="Q672">
        <v>1598317</v>
      </c>
      <c r="S672" t="s">
        <v>1589</v>
      </c>
      <c r="T672">
        <v>1646131</v>
      </c>
      <c r="V672" t="s">
        <v>1589</v>
      </c>
      <c r="W672">
        <v>1695378</v>
      </c>
    </row>
    <row r="673" spans="1:23" x14ac:dyDescent="0.25">
      <c r="A673" s="400" t="s">
        <v>1587</v>
      </c>
      <c r="B673">
        <v>6375</v>
      </c>
      <c r="E673">
        <v>0</v>
      </c>
      <c r="H673">
        <v>0</v>
      </c>
      <c r="K673">
        <v>0</v>
      </c>
      <c r="N673">
        <v>0</v>
      </c>
      <c r="Q673">
        <v>0</v>
      </c>
      <c r="T673">
        <v>0</v>
      </c>
      <c r="W673">
        <v>0</v>
      </c>
    </row>
    <row r="674" spans="1:23" x14ac:dyDescent="0.25">
      <c r="A674" s="400" t="s">
        <v>1588</v>
      </c>
      <c r="B674">
        <v>1361064</v>
      </c>
      <c r="E674">
        <v>0</v>
      </c>
      <c r="H674">
        <v>0</v>
      </c>
      <c r="K674">
        <v>0</v>
      </c>
      <c r="N674">
        <v>0</v>
      </c>
      <c r="Q674">
        <v>0</v>
      </c>
      <c r="T674">
        <v>0</v>
      </c>
      <c r="W674">
        <v>0</v>
      </c>
    </row>
    <row r="675" spans="1:23" x14ac:dyDescent="0.25">
      <c r="A675" s="400" t="s">
        <v>1589</v>
      </c>
      <c r="B675">
        <v>1367439</v>
      </c>
      <c r="D675" t="s">
        <v>1590</v>
      </c>
      <c r="E675">
        <v>5767</v>
      </c>
      <c r="G675" t="s">
        <v>1590</v>
      </c>
      <c r="H675">
        <v>5831</v>
      </c>
      <c r="J675" t="s">
        <v>1590</v>
      </c>
      <c r="K675">
        <v>5890</v>
      </c>
      <c r="M675" t="s">
        <v>1590</v>
      </c>
      <c r="N675">
        <v>5948</v>
      </c>
      <c r="P675" t="s">
        <v>1590</v>
      </c>
      <c r="Q675">
        <v>6008</v>
      </c>
      <c r="S675" t="s">
        <v>1590</v>
      </c>
      <c r="T675">
        <v>6068</v>
      </c>
      <c r="V675" t="s">
        <v>1590</v>
      </c>
      <c r="W675">
        <v>6129</v>
      </c>
    </row>
    <row r="676" spans="1:23" x14ac:dyDescent="0.25">
      <c r="A676" s="400"/>
      <c r="B676">
        <v>0</v>
      </c>
      <c r="D676" t="s">
        <v>1591</v>
      </c>
      <c r="E676">
        <v>546.26699999999994</v>
      </c>
      <c r="G676" t="s">
        <v>1591</v>
      </c>
      <c r="H676">
        <v>546.471</v>
      </c>
      <c r="J676" t="s">
        <v>1591</v>
      </c>
      <c r="K676">
        <v>535.77099999999996</v>
      </c>
      <c r="M676" t="s">
        <v>1591</v>
      </c>
      <c r="N676">
        <v>520.77099999999996</v>
      </c>
      <c r="P676" t="s">
        <v>1591</v>
      </c>
      <c r="Q676">
        <v>505.77100000000002</v>
      </c>
      <c r="S676" t="s">
        <v>1591</v>
      </c>
      <c r="T676">
        <v>495.77100000000002</v>
      </c>
      <c r="V676" t="s">
        <v>1591</v>
      </c>
      <c r="W676">
        <v>490.77100000000002</v>
      </c>
    </row>
    <row r="677" spans="1:23" x14ac:dyDescent="0.25">
      <c r="A677" s="400"/>
      <c r="B677">
        <v>0</v>
      </c>
      <c r="D677" t="s">
        <v>1592</v>
      </c>
      <c r="E677">
        <v>3150322</v>
      </c>
      <c r="G677" t="s">
        <v>1592</v>
      </c>
      <c r="H677">
        <v>3186472</v>
      </c>
      <c r="J677" t="s">
        <v>1592</v>
      </c>
      <c r="K677">
        <v>3155691</v>
      </c>
      <c r="M677" t="s">
        <v>1592</v>
      </c>
      <c r="N677">
        <v>3097546</v>
      </c>
      <c r="P677" t="s">
        <v>1592</v>
      </c>
      <c r="Q677">
        <v>3038672</v>
      </c>
      <c r="S677" t="s">
        <v>1592</v>
      </c>
      <c r="T677">
        <v>3008338</v>
      </c>
      <c r="V677" t="s">
        <v>1592</v>
      </c>
      <c r="W677">
        <v>3007935</v>
      </c>
    </row>
    <row r="678" spans="1:23" x14ac:dyDescent="0.25">
      <c r="A678" s="400" t="s">
        <v>1590</v>
      </c>
      <c r="B678">
        <v>5640</v>
      </c>
      <c r="D678" t="s">
        <v>1593</v>
      </c>
      <c r="E678">
        <v>5767</v>
      </c>
      <c r="G678" t="s">
        <v>1593</v>
      </c>
      <c r="H678">
        <v>5831</v>
      </c>
      <c r="J678" t="s">
        <v>1593</v>
      </c>
      <c r="K678">
        <v>5890</v>
      </c>
      <c r="M678" t="s">
        <v>1593</v>
      </c>
      <c r="N678">
        <v>5948</v>
      </c>
      <c r="P678" t="s">
        <v>1593</v>
      </c>
      <c r="Q678">
        <v>6008</v>
      </c>
      <c r="S678" t="s">
        <v>1593</v>
      </c>
      <c r="T678">
        <v>6068</v>
      </c>
      <c r="V678" t="s">
        <v>1593</v>
      </c>
      <c r="W678">
        <v>6129</v>
      </c>
    </row>
    <row r="679" spans="1:23" x14ac:dyDescent="0.25">
      <c r="A679" s="400" t="s">
        <v>1591</v>
      </c>
      <c r="B679">
        <v>563.89099999999996</v>
      </c>
      <c r="D679" t="s">
        <v>1594</v>
      </c>
      <c r="E679">
        <v>63.239999999999995</v>
      </c>
      <c r="G679" t="s">
        <v>1594</v>
      </c>
      <c r="H679">
        <v>80.8</v>
      </c>
      <c r="J679" t="s">
        <v>1594</v>
      </c>
      <c r="K679">
        <v>80.8</v>
      </c>
      <c r="M679" t="s">
        <v>1594</v>
      </c>
      <c r="N679">
        <v>80.8</v>
      </c>
      <c r="P679" t="s">
        <v>1594</v>
      </c>
      <c r="Q679">
        <v>80.8</v>
      </c>
      <c r="S679" t="s">
        <v>1594</v>
      </c>
      <c r="T679">
        <v>80.8</v>
      </c>
      <c r="V679" t="s">
        <v>1594</v>
      </c>
      <c r="W679">
        <v>80.8</v>
      </c>
    </row>
    <row r="680" spans="1:23" x14ac:dyDescent="0.25">
      <c r="A680" s="400" t="s">
        <v>1592</v>
      </c>
      <c r="B680">
        <v>3180345</v>
      </c>
      <c r="D680" t="s">
        <v>1595</v>
      </c>
      <c r="E680">
        <v>364705</v>
      </c>
      <c r="G680" t="s">
        <v>1595</v>
      </c>
      <c r="H680">
        <v>471145</v>
      </c>
      <c r="J680" t="s">
        <v>1595</v>
      </c>
      <c r="K680">
        <v>475912</v>
      </c>
      <c r="M680" t="s">
        <v>1595</v>
      </c>
      <c r="N680">
        <v>480598</v>
      </c>
      <c r="P680" t="s">
        <v>1595</v>
      </c>
      <c r="Q680">
        <v>485446</v>
      </c>
      <c r="S680" t="s">
        <v>1595</v>
      </c>
      <c r="T680">
        <v>490294</v>
      </c>
      <c r="V680" t="s">
        <v>1595</v>
      </c>
      <c r="W680">
        <v>495223</v>
      </c>
    </row>
    <row r="681" spans="1:23" x14ac:dyDescent="0.25">
      <c r="A681" s="400" t="s">
        <v>1593</v>
      </c>
      <c r="B681">
        <v>5640</v>
      </c>
      <c r="D681" t="s">
        <v>1596</v>
      </c>
      <c r="E681">
        <v>229</v>
      </c>
      <c r="G681" t="s">
        <v>1596</v>
      </c>
      <c r="H681">
        <v>231</v>
      </c>
      <c r="J681" t="s">
        <v>1596</v>
      </c>
      <c r="K681">
        <v>233</v>
      </c>
      <c r="M681" t="s">
        <v>1596</v>
      </c>
      <c r="N681">
        <v>236</v>
      </c>
      <c r="P681" t="s">
        <v>1596</v>
      </c>
      <c r="Q681">
        <v>238</v>
      </c>
      <c r="S681" t="s">
        <v>1596</v>
      </c>
      <c r="T681">
        <v>241</v>
      </c>
      <c r="V681" t="s">
        <v>1596</v>
      </c>
      <c r="W681">
        <v>243</v>
      </c>
    </row>
    <row r="682" spans="1:23" x14ac:dyDescent="0.25">
      <c r="A682" s="400" t="s">
        <v>1594</v>
      </c>
      <c r="B682">
        <v>62.72</v>
      </c>
      <c r="D682" t="s">
        <v>1597</v>
      </c>
      <c r="E682">
        <v>592.14</v>
      </c>
      <c r="G682" t="s">
        <v>1597</v>
      </c>
      <c r="H682">
        <v>597.4</v>
      </c>
      <c r="J682" t="s">
        <v>1597</v>
      </c>
      <c r="K682">
        <v>586.70000000000005</v>
      </c>
      <c r="M682" t="s">
        <v>1597</v>
      </c>
      <c r="N682">
        <v>571.70000000000005</v>
      </c>
      <c r="P682" t="s">
        <v>1597</v>
      </c>
      <c r="Q682">
        <v>556.70000000000005</v>
      </c>
      <c r="S682" t="s">
        <v>1597</v>
      </c>
      <c r="T682">
        <v>546.70000000000005</v>
      </c>
      <c r="V682" t="s">
        <v>1597</v>
      </c>
      <c r="W682">
        <v>541.70000000000005</v>
      </c>
    </row>
    <row r="683" spans="1:23" x14ac:dyDescent="0.25">
      <c r="A683" s="400" t="s">
        <v>1595</v>
      </c>
      <c r="B683">
        <v>353741</v>
      </c>
      <c r="D683" t="s">
        <v>1598</v>
      </c>
      <c r="E683">
        <v>135600</v>
      </c>
      <c r="G683" t="s">
        <v>1598</v>
      </c>
      <c r="H683">
        <v>137999</v>
      </c>
      <c r="J683" t="s">
        <v>1598</v>
      </c>
      <c r="K683">
        <v>136701</v>
      </c>
      <c r="M683" t="s">
        <v>1598</v>
      </c>
      <c r="N683">
        <v>134921</v>
      </c>
      <c r="P683" t="s">
        <v>1598</v>
      </c>
      <c r="Q683">
        <v>132495</v>
      </c>
      <c r="S683" t="s">
        <v>1598</v>
      </c>
      <c r="T683">
        <v>131755</v>
      </c>
      <c r="V683" t="s">
        <v>1598</v>
      </c>
      <c r="W683">
        <v>131633</v>
      </c>
    </row>
    <row r="684" spans="1:23" x14ac:dyDescent="0.25">
      <c r="A684" s="400" t="s">
        <v>1596</v>
      </c>
      <c r="B684">
        <v>224</v>
      </c>
      <c r="D684" t="s">
        <v>1599</v>
      </c>
      <c r="E684">
        <v>17728</v>
      </c>
      <c r="G684" t="s">
        <v>1599</v>
      </c>
      <c r="H684">
        <v>17970</v>
      </c>
      <c r="J684" t="s">
        <v>1599</v>
      </c>
      <c r="K684">
        <v>17970</v>
      </c>
      <c r="M684" t="s">
        <v>1599</v>
      </c>
      <c r="N684">
        <v>17824</v>
      </c>
      <c r="P684" t="s">
        <v>1599</v>
      </c>
      <c r="Q684">
        <v>17540</v>
      </c>
      <c r="S684" t="s">
        <v>1599</v>
      </c>
      <c r="T684">
        <v>17252</v>
      </c>
      <c r="V684" t="s">
        <v>1599</v>
      </c>
      <c r="W684">
        <v>17123</v>
      </c>
    </row>
    <row r="685" spans="1:23" x14ac:dyDescent="0.25">
      <c r="A685" s="400" t="s">
        <v>1597</v>
      </c>
      <c r="B685">
        <v>609.22</v>
      </c>
      <c r="D685" t="s">
        <v>1600</v>
      </c>
      <c r="E685">
        <v>1882</v>
      </c>
      <c r="G685" t="s">
        <v>1600</v>
      </c>
      <c r="H685">
        <v>1918</v>
      </c>
      <c r="J685" t="s">
        <v>1600</v>
      </c>
      <c r="K685">
        <v>1918</v>
      </c>
      <c r="M685" t="s">
        <v>1600</v>
      </c>
      <c r="N685">
        <v>1907</v>
      </c>
      <c r="P685" t="s">
        <v>1600</v>
      </c>
      <c r="Q685">
        <v>1881</v>
      </c>
      <c r="S685" t="s">
        <v>1600</v>
      </c>
      <c r="T685">
        <v>1854</v>
      </c>
      <c r="V685" t="s">
        <v>1600</v>
      </c>
      <c r="W685">
        <v>1847</v>
      </c>
    </row>
    <row r="686" spans="1:23" x14ac:dyDescent="0.25">
      <c r="A686" s="400" t="s">
        <v>1598</v>
      </c>
      <c r="B686">
        <v>136465</v>
      </c>
      <c r="D686" t="s">
        <v>1601</v>
      </c>
      <c r="E686">
        <v>155210</v>
      </c>
      <c r="G686" t="s">
        <v>1601</v>
      </c>
      <c r="H686">
        <v>157887</v>
      </c>
      <c r="J686" t="s">
        <v>1601</v>
      </c>
      <c r="K686">
        <v>156589</v>
      </c>
      <c r="M686" t="s">
        <v>1601</v>
      </c>
      <c r="N686">
        <v>154652</v>
      </c>
      <c r="P686" t="s">
        <v>1601</v>
      </c>
      <c r="Q686">
        <v>151916</v>
      </c>
      <c r="S686" t="s">
        <v>1601</v>
      </c>
      <c r="T686">
        <v>150861</v>
      </c>
      <c r="V686" t="s">
        <v>1601</v>
      </c>
      <c r="W686">
        <v>150603</v>
      </c>
    </row>
    <row r="687" spans="1:23" x14ac:dyDescent="0.25">
      <c r="A687" s="400" t="s">
        <v>1599</v>
      </c>
      <c r="B687">
        <v>18580</v>
      </c>
      <c r="D687" t="s">
        <v>1602</v>
      </c>
      <c r="E687">
        <v>3150322</v>
      </c>
      <c r="G687" t="s">
        <v>1602</v>
      </c>
      <c r="H687">
        <v>3186472</v>
      </c>
      <c r="J687" t="s">
        <v>1602</v>
      </c>
      <c r="K687">
        <v>3155691</v>
      </c>
      <c r="M687" t="s">
        <v>1602</v>
      </c>
      <c r="N687">
        <v>3097546</v>
      </c>
      <c r="P687" t="s">
        <v>1602</v>
      </c>
      <c r="Q687">
        <v>3038672</v>
      </c>
      <c r="S687" t="s">
        <v>1602</v>
      </c>
      <c r="T687">
        <v>3008338</v>
      </c>
      <c r="V687" t="s">
        <v>1602</v>
      </c>
      <c r="W687">
        <v>3007935</v>
      </c>
    </row>
    <row r="688" spans="1:23" x14ac:dyDescent="0.25">
      <c r="A688" s="400" t="s">
        <v>1600</v>
      </c>
      <c r="B688">
        <v>1972</v>
      </c>
      <c r="D688" t="s">
        <v>1603</v>
      </c>
      <c r="E688">
        <v>364705</v>
      </c>
      <c r="G688" t="s">
        <v>1603</v>
      </c>
      <c r="H688">
        <v>471145</v>
      </c>
      <c r="J688" t="s">
        <v>1603</v>
      </c>
      <c r="K688">
        <v>475912</v>
      </c>
      <c r="M688" t="s">
        <v>1603</v>
      </c>
      <c r="N688">
        <v>480598</v>
      </c>
      <c r="P688" t="s">
        <v>1603</v>
      </c>
      <c r="Q688">
        <v>485446</v>
      </c>
      <c r="S688" t="s">
        <v>1603</v>
      </c>
      <c r="T688">
        <v>490294</v>
      </c>
      <c r="V688" t="s">
        <v>1603</v>
      </c>
      <c r="W688">
        <v>495223</v>
      </c>
    </row>
    <row r="689" spans="1:23" x14ac:dyDescent="0.25">
      <c r="A689" s="400" t="s">
        <v>1601</v>
      </c>
      <c r="B689">
        <v>157017</v>
      </c>
      <c r="D689" t="s">
        <v>1604</v>
      </c>
      <c r="E689">
        <v>0</v>
      </c>
      <c r="G689" t="s">
        <v>1604</v>
      </c>
      <c r="H689">
        <v>0</v>
      </c>
      <c r="J689" t="s">
        <v>1604</v>
      </c>
      <c r="K689">
        <v>0</v>
      </c>
      <c r="M689" t="s">
        <v>1604</v>
      </c>
      <c r="N689">
        <v>0</v>
      </c>
      <c r="P689" t="s">
        <v>1604</v>
      </c>
      <c r="Q689">
        <v>0</v>
      </c>
      <c r="S689" t="s">
        <v>1604</v>
      </c>
      <c r="T689">
        <v>0</v>
      </c>
      <c r="V689" t="s">
        <v>1604</v>
      </c>
      <c r="W689">
        <v>0</v>
      </c>
    </row>
    <row r="690" spans="1:23" x14ac:dyDescent="0.25">
      <c r="A690" s="400" t="s">
        <v>1602</v>
      </c>
      <c r="B690">
        <v>3180345</v>
      </c>
      <c r="D690" t="s">
        <v>1605</v>
      </c>
      <c r="E690">
        <v>297427</v>
      </c>
      <c r="G690" t="s">
        <v>1605</v>
      </c>
      <c r="H690">
        <v>294460</v>
      </c>
      <c r="J690" t="s">
        <v>1605</v>
      </c>
      <c r="K690">
        <v>290866</v>
      </c>
      <c r="M690" t="s">
        <v>1605</v>
      </c>
      <c r="N690">
        <v>287746</v>
      </c>
      <c r="P690" t="s">
        <v>1605</v>
      </c>
      <c r="Q690">
        <v>282061</v>
      </c>
      <c r="S690" t="s">
        <v>1605</v>
      </c>
      <c r="T690">
        <v>276231</v>
      </c>
      <c r="V690" t="s">
        <v>1605</v>
      </c>
      <c r="W690">
        <v>273185</v>
      </c>
    </row>
    <row r="691" spans="1:23" x14ac:dyDescent="0.25">
      <c r="A691" s="400" t="s">
        <v>1603</v>
      </c>
      <c r="B691">
        <v>353741</v>
      </c>
      <c r="D691" t="s">
        <v>1606</v>
      </c>
      <c r="E691">
        <v>30823</v>
      </c>
      <c r="G691" t="s">
        <v>1606</v>
      </c>
      <c r="H691">
        <v>30581</v>
      </c>
      <c r="J691" t="s">
        <v>1606</v>
      </c>
      <c r="K691">
        <v>30237</v>
      </c>
      <c r="M691" t="s">
        <v>1606</v>
      </c>
      <c r="N691">
        <v>29939</v>
      </c>
      <c r="P691" t="s">
        <v>1606</v>
      </c>
      <c r="Q691">
        <v>29375</v>
      </c>
      <c r="S691" t="s">
        <v>1606</v>
      </c>
      <c r="T691">
        <v>28792</v>
      </c>
      <c r="V691" t="s">
        <v>1606</v>
      </c>
      <c r="W691">
        <v>28507</v>
      </c>
    </row>
    <row r="692" spans="1:23" x14ac:dyDescent="0.25">
      <c r="A692" s="400" t="s">
        <v>1604</v>
      </c>
      <c r="B692">
        <v>5124</v>
      </c>
      <c r="D692" t="s">
        <v>1607</v>
      </c>
      <c r="E692">
        <v>31003</v>
      </c>
      <c r="G692" t="s">
        <v>1607</v>
      </c>
      <c r="H692">
        <v>30819</v>
      </c>
      <c r="J692" t="s">
        <v>1607</v>
      </c>
      <c r="K692">
        <v>30505</v>
      </c>
      <c r="M692" t="s">
        <v>1607</v>
      </c>
      <c r="N692">
        <v>30233</v>
      </c>
      <c r="P692" t="s">
        <v>1607</v>
      </c>
      <c r="Q692">
        <v>29690</v>
      </c>
      <c r="S692" t="s">
        <v>1607</v>
      </c>
      <c r="T692">
        <v>29125</v>
      </c>
      <c r="V692" t="s">
        <v>1607</v>
      </c>
      <c r="W692">
        <v>28885</v>
      </c>
    </row>
    <row r="693" spans="1:23" x14ac:dyDescent="0.25">
      <c r="A693" s="400" t="s">
        <v>1605</v>
      </c>
      <c r="B693">
        <v>308349</v>
      </c>
      <c r="D693" t="s">
        <v>1608</v>
      </c>
      <c r="E693">
        <v>0</v>
      </c>
      <c r="G693" t="s">
        <v>1608</v>
      </c>
      <c r="H693">
        <v>169100</v>
      </c>
      <c r="J693" t="s">
        <v>1608</v>
      </c>
      <c r="K693">
        <v>167001</v>
      </c>
      <c r="M693" t="s">
        <v>1608</v>
      </c>
      <c r="N693">
        <v>165176</v>
      </c>
      <c r="P693" t="s">
        <v>1608</v>
      </c>
      <c r="Q693">
        <v>161884</v>
      </c>
      <c r="S693" t="s">
        <v>1608</v>
      </c>
      <c r="T693">
        <v>158508</v>
      </c>
      <c r="V693" t="s">
        <v>1608</v>
      </c>
      <c r="W693">
        <v>156729</v>
      </c>
    </row>
    <row r="694" spans="1:23" x14ac:dyDescent="0.25">
      <c r="A694" s="400" t="s">
        <v>1606</v>
      </c>
      <c r="B694">
        <v>31915</v>
      </c>
      <c r="D694" t="s">
        <v>1609</v>
      </c>
      <c r="E694">
        <v>4029490</v>
      </c>
      <c r="G694" t="s">
        <v>1609</v>
      </c>
      <c r="H694">
        <v>4340464</v>
      </c>
      <c r="J694" t="s">
        <v>1609</v>
      </c>
      <c r="K694">
        <v>4306801</v>
      </c>
      <c r="M694" t="s">
        <v>1609</v>
      </c>
      <c r="N694">
        <v>4245890</v>
      </c>
      <c r="P694" t="s">
        <v>1609</v>
      </c>
      <c r="Q694">
        <v>4179044</v>
      </c>
      <c r="S694" t="s">
        <v>1609</v>
      </c>
      <c r="T694">
        <v>4142149</v>
      </c>
      <c r="V694" t="s">
        <v>1609</v>
      </c>
      <c r="W694">
        <v>4141067</v>
      </c>
    </row>
    <row r="695" spans="1:23" x14ac:dyDescent="0.25">
      <c r="A695" s="400" t="s">
        <v>1607</v>
      </c>
      <c r="B695">
        <v>32064</v>
      </c>
      <c r="D695" t="s">
        <v>1610</v>
      </c>
      <c r="E695">
        <v>1414017</v>
      </c>
      <c r="G695" t="s">
        <v>1610</v>
      </c>
      <c r="H695">
        <v>1464517</v>
      </c>
      <c r="J695" t="s">
        <v>1610</v>
      </c>
      <c r="K695">
        <v>1506829</v>
      </c>
      <c r="M695" t="s">
        <v>1610</v>
      </c>
      <c r="N695">
        <v>1551898</v>
      </c>
      <c r="P695" t="s">
        <v>1610</v>
      </c>
      <c r="Q695">
        <v>1598317</v>
      </c>
      <c r="S695" t="s">
        <v>1610</v>
      </c>
      <c r="T695">
        <v>1646131</v>
      </c>
      <c r="V695" t="s">
        <v>1610</v>
      </c>
      <c r="W695">
        <v>1695378</v>
      </c>
    </row>
    <row r="696" spans="1:23" x14ac:dyDescent="0.25">
      <c r="A696" s="400" t="s">
        <v>1608</v>
      </c>
      <c r="B696">
        <v>0</v>
      </c>
      <c r="D696" t="s">
        <v>1611</v>
      </c>
      <c r="E696">
        <v>2615473</v>
      </c>
      <c r="G696" t="s">
        <v>1611</v>
      </c>
      <c r="H696">
        <v>2875947</v>
      </c>
      <c r="J696" t="s">
        <v>1611</v>
      </c>
      <c r="K696">
        <v>2799972</v>
      </c>
      <c r="M696" t="s">
        <v>1611</v>
      </c>
      <c r="N696">
        <v>2693992</v>
      </c>
      <c r="P696" t="s">
        <v>1611</v>
      </c>
      <c r="Q696">
        <v>2580727</v>
      </c>
      <c r="S696" t="s">
        <v>1611</v>
      </c>
      <c r="T696">
        <v>2496018</v>
      </c>
      <c r="V696" t="s">
        <v>1611</v>
      </c>
      <c r="W696">
        <v>2445689</v>
      </c>
    </row>
    <row r="697" spans="1:23" x14ac:dyDescent="0.25">
      <c r="A697" s="400" t="s">
        <v>1609</v>
      </c>
      <c r="B697">
        <v>4068555</v>
      </c>
      <c r="D697" t="s">
        <v>1612</v>
      </c>
      <c r="E697">
        <v>609.50699999999995</v>
      </c>
      <c r="G697" t="s">
        <v>1612</v>
      </c>
      <c r="H697">
        <v>627.27099999999996</v>
      </c>
      <c r="J697" t="s">
        <v>1612</v>
      </c>
      <c r="K697">
        <v>616.57100000000003</v>
      </c>
      <c r="M697" t="s">
        <v>1612</v>
      </c>
      <c r="N697">
        <v>601.57100000000003</v>
      </c>
      <c r="P697" t="s">
        <v>1612</v>
      </c>
      <c r="Q697">
        <v>586.57100000000003</v>
      </c>
      <c r="S697" t="s">
        <v>1612</v>
      </c>
      <c r="T697">
        <v>576.57100000000003</v>
      </c>
      <c r="V697" t="s">
        <v>1612</v>
      </c>
      <c r="W697">
        <v>571.57100000000003</v>
      </c>
    </row>
    <row r="698" spans="1:23" x14ac:dyDescent="0.25">
      <c r="A698" s="400" t="s">
        <v>1610</v>
      </c>
      <c r="B698">
        <v>1367439</v>
      </c>
      <c r="D698" t="s">
        <v>1613</v>
      </c>
      <c r="E698">
        <v>300</v>
      </c>
      <c r="G698" t="s">
        <v>1613</v>
      </c>
      <c r="H698">
        <v>300</v>
      </c>
      <c r="J698" t="s">
        <v>1613</v>
      </c>
      <c r="K698">
        <v>300</v>
      </c>
      <c r="M698" t="s">
        <v>1613</v>
      </c>
      <c r="N698">
        <v>300</v>
      </c>
      <c r="P698" t="s">
        <v>1613</v>
      </c>
      <c r="Q698">
        <v>300</v>
      </c>
      <c r="S698" t="s">
        <v>1613</v>
      </c>
      <c r="T698">
        <v>300</v>
      </c>
      <c r="V698" t="s">
        <v>1613</v>
      </c>
      <c r="W698">
        <v>300</v>
      </c>
    </row>
    <row r="699" spans="1:23" x14ac:dyDescent="0.25">
      <c r="A699" s="400" t="s">
        <v>1611</v>
      </c>
      <c r="B699">
        <v>2701116</v>
      </c>
      <c r="D699" t="s">
        <v>1614</v>
      </c>
      <c r="E699">
        <v>182852</v>
      </c>
      <c r="G699" t="s">
        <v>1614</v>
      </c>
      <c r="H699">
        <v>188181</v>
      </c>
      <c r="J699" t="s">
        <v>1614</v>
      </c>
      <c r="K699">
        <v>184971</v>
      </c>
      <c r="M699" t="s">
        <v>1614</v>
      </c>
      <c r="N699">
        <v>180471</v>
      </c>
      <c r="P699" t="s">
        <v>1614</v>
      </c>
      <c r="Q699">
        <v>175971</v>
      </c>
      <c r="S699" t="s">
        <v>1614</v>
      </c>
      <c r="T699">
        <v>172971</v>
      </c>
      <c r="V699" t="s">
        <v>1614</v>
      </c>
      <c r="W699">
        <v>171471</v>
      </c>
    </row>
    <row r="700" spans="1:23" x14ac:dyDescent="0.25">
      <c r="A700" s="400" t="s">
        <v>1612</v>
      </c>
      <c r="B700">
        <v>626.61099999999999</v>
      </c>
      <c r="D700" t="s">
        <v>1615</v>
      </c>
      <c r="E700">
        <v>2615473</v>
      </c>
      <c r="G700" t="s">
        <v>1615</v>
      </c>
      <c r="H700">
        <v>2875947</v>
      </c>
      <c r="J700" t="s">
        <v>1615</v>
      </c>
      <c r="K700">
        <v>2799972</v>
      </c>
      <c r="M700" t="s">
        <v>1615</v>
      </c>
      <c r="N700">
        <v>2693992</v>
      </c>
      <c r="P700" t="s">
        <v>1615</v>
      </c>
      <c r="Q700">
        <v>2580727</v>
      </c>
      <c r="S700" t="s">
        <v>1615</v>
      </c>
      <c r="T700">
        <v>2496018</v>
      </c>
      <c r="V700" t="s">
        <v>1615</v>
      </c>
      <c r="W700">
        <v>2445689</v>
      </c>
    </row>
    <row r="701" spans="1:23" x14ac:dyDescent="0.25">
      <c r="A701" s="400" t="s">
        <v>1613</v>
      </c>
      <c r="B701">
        <v>300</v>
      </c>
      <c r="D701" t="s">
        <v>1616</v>
      </c>
      <c r="E701">
        <v>0</v>
      </c>
      <c r="G701" t="s">
        <v>1616</v>
      </c>
      <c r="H701">
        <v>0</v>
      </c>
      <c r="J701" t="s">
        <v>1616</v>
      </c>
      <c r="K701">
        <v>0</v>
      </c>
      <c r="M701" t="s">
        <v>1616</v>
      </c>
      <c r="N701">
        <v>0</v>
      </c>
      <c r="P701" t="s">
        <v>1616</v>
      </c>
      <c r="Q701">
        <v>0</v>
      </c>
      <c r="S701" t="s">
        <v>1616</v>
      </c>
      <c r="T701">
        <v>0</v>
      </c>
      <c r="V701" t="s">
        <v>1616</v>
      </c>
      <c r="W701">
        <v>0</v>
      </c>
    </row>
    <row r="702" spans="1:23" x14ac:dyDescent="0.25">
      <c r="A702" s="400" t="s">
        <v>1614</v>
      </c>
      <c r="B702">
        <v>187983</v>
      </c>
      <c r="E702">
        <v>0</v>
      </c>
      <c r="H702">
        <v>0</v>
      </c>
      <c r="K702">
        <v>0</v>
      </c>
      <c r="N702">
        <v>0</v>
      </c>
      <c r="Q702">
        <v>0</v>
      </c>
      <c r="T702">
        <v>0</v>
      </c>
      <c r="W702">
        <v>0</v>
      </c>
    </row>
    <row r="703" spans="1:23" x14ac:dyDescent="0.25">
      <c r="A703" s="400" t="s">
        <v>1615</v>
      </c>
      <c r="B703">
        <v>2701116</v>
      </c>
      <c r="E703">
        <v>0</v>
      </c>
      <c r="H703">
        <v>0</v>
      </c>
      <c r="K703">
        <v>0</v>
      </c>
      <c r="N703">
        <v>0</v>
      </c>
      <c r="Q703">
        <v>0</v>
      </c>
      <c r="T703">
        <v>0</v>
      </c>
      <c r="W703">
        <v>0</v>
      </c>
    </row>
    <row r="704" spans="1:23" x14ac:dyDescent="0.25">
      <c r="A704" s="400" t="s">
        <v>1616</v>
      </c>
      <c r="B704">
        <v>0</v>
      </c>
      <c r="D704" t="s">
        <v>1617</v>
      </c>
      <c r="E704">
        <v>9.5</v>
      </c>
      <c r="G704" t="s">
        <v>1617</v>
      </c>
      <c r="H704">
        <v>12</v>
      </c>
      <c r="J704" t="s">
        <v>1617</v>
      </c>
      <c r="K704">
        <v>12</v>
      </c>
      <c r="M704" t="s">
        <v>1617</v>
      </c>
      <c r="N704">
        <v>12</v>
      </c>
      <c r="P704" t="s">
        <v>1617</v>
      </c>
      <c r="Q704">
        <v>12</v>
      </c>
      <c r="S704" t="s">
        <v>1617</v>
      </c>
      <c r="T704">
        <v>12</v>
      </c>
      <c r="V704" t="s">
        <v>1617</v>
      </c>
      <c r="W704">
        <v>12</v>
      </c>
    </row>
    <row r="705" spans="1:23" x14ac:dyDescent="0.25">
      <c r="A705" s="400"/>
      <c r="B705">
        <v>0</v>
      </c>
      <c r="D705" t="s">
        <v>1618</v>
      </c>
      <c r="E705">
        <v>6591</v>
      </c>
      <c r="G705" t="s">
        <v>1618</v>
      </c>
      <c r="H705">
        <v>6664</v>
      </c>
      <c r="J705" t="s">
        <v>1618</v>
      </c>
      <c r="K705">
        <v>6731</v>
      </c>
      <c r="M705" t="s">
        <v>1618</v>
      </c>
      <c r="N705">
        <v>6798</v>
      </c>
      <c r="P705" t="s">
        <v>1618</v>
      </c>
      <c r="Q705">
        <v>6866</v>
      </c>
      <c r="S705" t="s">
        <v>1618</v>
      </c>
      <c r="T705">
        <v>6935</v>
      </c>
      <c r="V705" t="s">
        <v>1618</v>
      </c>
      <c r="W705">
        <v>7004</v>
      </c>
    </row>
    <row r="706" spans="1:23" x14ac:dyDescent="0.25">
      <c r="A706" s="400"/>
      <c r="B706">
        <v>0</v>
      </c>
      <c r="D706" t="s">
        <v>1619</v>
      </c>
      <c r="E706">
        <v>62615</v>
      </c>
      <c r="G706" t="s">
        <v>1619</v>
      </c>
      <c r="H706">
        <v>79968</v>
      </c>
      <c r="J706" t="s">
        <v>1619</v>
      </c>
      <c r="K706">
        <v>80772</v>
      </c>
      <c r="M706" t="s">
        <v>1619</v>
      </c>
      <c r="N706">
        <v>81576</v>
      </c>
      <c r="P706" t="s">
        <v>1619</v>
      </c>
      <c r="Q706">
        <v>82392</v>
      </c>
      <c r="S706" t="s">
        <v>1619</v>
      </c>
      <c r="T706">
        <v>83220</v>
      </c>
      <c r="V706" t="s">
        <v>1619</v>
      </c>
      <c r="W706">
        <v>84048</v>
      </c>
    </row>
    <row r="707" spans="1:23" x14ac:dyDescent="0.25">
      <c r="A707" s="400" t="s">
        <v>1617</v>
      </c>
      <c r="B707">
        <v>16</v>
      </c>
      <c r="D707" t="s">
        <v>1620</v>
      </c>
      <c r="E707">
        <v>0</v>
      </c>
      <c r="G707" t="s">
        <v>1620</v>
      </c>
      <c r="H707">
        <v>0</v>
      </c>
      <c r="J707" t="s">
        <v>1620</v>
      </c>
      <c r="K707">
        <v>0</v>
      </c>
      <c r="M707" t="s">
        <v>1620</v>
      </c>
      <c r="N707">
        <v>0</v>
      </c>
      <c r="P707" t="s">
        <v>1620</v>
      </c>
      <c r="Q707">
        <v>0</v>
      </c>
      <c r="S707" t="s">
        <v>1620</v>
      </c>
      <c r="T707">
        <v>0</v>
      </c>
      <c r="V707" t="s">
        <v>1620</v>
      </c>
      <c r="W707">
        <v>0</v>
      </c>
    </row>
    <row r="708" spans="1:23" x14ac:dyDescent="0.25">
      <c r="A708" s="400" t="s">
        <v>1618</v>
      </c>
      <c r="B708">
        <v>6446</v>
      </c>
      <c r="D708" t="s">
        <v>1621</v>
      </c>
      <c r="E708">
        <v>6446</v>
      </c>
      <c r="G708" t="s">
        <v>1621</v>
      </c>
      <c r="H708">
        <v>6591</v>
      </c>
      <c r="J708" t="s">
        <v>1621</v>
      </c>
      <c r="K708">
        <v>6664</v>
      </c>
      <c r="M708" t="s">
        <v>1621</v>
      </c>
      <c r="N708">
        <v>6731</v>
      </c>
      <c r="P708" t="s">
        <v>1621</v>
      </c>
      <c r="Q708">
        <v>6798</v>
      </c>
      <c r="S708" t="s">
        <v>1621</v>
      </c>
      <c r="T708">
        <v>6866</v>
      </c>
      <c r="V708" t="s">
        <v>1621</v>
      </c>
      <c r="W708">
        <v>6935</v>
      </c>
    </row>
    <row r="709" spans="1:23" x14ac:dyDescent="0.25">
      <c r="A709" s="400" t="s">
        <v>1619</v>
      </c>
      <c r="B709">
        <v>103136</v>
      </c>
      <c r="D709" t="s">
        <v>1622</v>
      </c>
      <c r="E709">
        <v>0</v>
      </c>
      <c r="G709" t="s">
        <v>1622</v>
      </c>
      <c r="H709">
        <v>0</v>
      </c>
      <c r="J709" t="s">
        <v>1622</v>
      </c>
      <c r="K709">
        <v>0</v>
      </c>
      <c r="M709" t="s">
        <v>1622</v>
      </c>
      <c r="N709">
        <v>0</v>
      </c>
      <c r="P709" t="s">
        <v>1622</v>
      </c>
      <c r="Q709">
        <v>0</v>
      </c>
      <c r="S709" t="s">
        <v>1622</v>
      </c>
      <c r="T709">
        <v>0</v>
      </c>
      <c r="V709" t="s">
        <v>1622</v>
      </c>
      <c r="W709">
        <v>0</v>
      </c>
    </row>
    <row r="710" spans="1:23" x14ac:dyDescent="0.25">
      <c r="A710" s="400" t="s">
        <v>1620</v>
      </c>
      <c r="B710">
        <v>0</v>
      </c>
      <c r="D710" t="s">
        <v>1623</v>
      </c>
      <c r="E710">
        <v>62615</v>
      </c>
      <c r="G710" t="s">
        <v>1623</v>
      </c>
      <c r="H710">
        <v>79968</v>
      </c>
      <c r="J710" t="s">
        <v>1623</v>
      </c>
      <c r="K710">
        <v>80772</v>
      </c>
      <c r="M710" t="s">
        <v>1623</v>
      </c>
      <c r="N710">
        <v>81576</v>
      </c>
      <c r="P710" t="s">
        <v>1623</v>
      </c>
      <c r="Q710">
        <v>82392</v>
      </c>
      <c r="S710" t="s">
        <v>1623</v>
      </c>
      <c r="T710">
        <v>83220</v>
      </c>
      <c r="V710" t="s">
        <v>1623</v>
      </c>
      <c r="W710">
        <v>84048</v>
      </c>
    </row>
    <row r="711" spans="1:23" x14ac:dyDescent="0.25">
      <c r="A711" s="400" t="s">
        <v>1621</v>
      </c>
      <c r="B711">
        <v>6366</v>
      </c>
      <c r="D711" t="s">
        <v>1624</v>
      </c>
      <c r="E711">
        <v>62615</v>
      </c>
      <c r="G711" t="s">
        <v>1624</v>
      </c>
      <c r="H711">
        <v>79968</v>
      </c>
      <c r="J711" t="s">
        <v>1624</v>
      </c>
      <c r="K711">
        <v>80772</v>
      </c>
      <c r="M711" t="s">
        <v>1624</v>
      </c>
      <c r="N711">
        <v>81576</v>
      </c>
      <c r="P711" t="s">
        <v>1624</v>
      </c>
      <c r="Q711">
        <v>82392</v>
      </c>
      <c r="S711" t="s">
        <v>1624</v>
      </c>
      <c r="T711">
        <v>83220</v>
      </c>
      <c r="V711" t="s">
        <v>1624</v>
      </c>
      <c r="W711">
        <v>84048</v>
      </c>
    </row>
    <row r="712" spans="1:23" x14ac:dyDescent="0.25">
      <c r="A712" s="400" t="s">
        <v>1622</v>
      </c>
      <c r="B712">
        <v>0</v>
      </c>
      <c r="E712">
        <v>0</v>
      </c>
      <c r="H712">
        <v>0</v>
      </c>
      <c r="K712">
        <v>0</v>
      </c>
      <c r="N712">
        <v>0</v>
      </c>
      <c r="Q712">
        <v>0</v>
      </c>
      <c r="T712">
        <v>0</v>
      </c>
      <c r="W712">
        <v>0</v>
      </c>
    </row>
    <row r="713" spans="1:23" x14ac:dyDescent="0.25">
      <c r="A713" s="400" t="s">
        <v>1623</v>
      </c>
      <c r="B713">
        <v>103136</v>
      </c>
      <c r="D713" t="s">
        <v>1625</v>
      </c>
      <c r="E713">
        <v>4867040</v>
      </c>
      <c r="G713" t="s">
        <v>1625</v>
      </c>
      <c r="H713">
        <v>5166519</v>
      </c>
      <c r="J713" t="s">
        <v>1625</v>
      </c>
      <c r="K713">
        <v>5186972</v>
      </c>
      <c r="M713" t="s">
        <v>1625</v>
      </c>
      <c r="N713">
        <v>5154059</v>
      </c>
      <c r="P713" t="s">
        <v>1625</v>
      </c>
      <c r="Q713">
        <v>5085251</v>
      </c>
      <c r="S713" t="s">
        <v>1625</v>
      </c>
      <c r="T713">
        <v>5010297</v>
      </c>
      <c r="V713" t="s">
        <v>1625</v>
      </c>
      <c r="W713">
        <v>4974868</v>
      </c>
    </row>
    <row r="714" spans="1:23" x14ac:dyDescent="0.25">
      <c r="A714" s="400" t="s">
        <v>1624</v>
      </c>
      <c r="B714">
        <v>103136</v>
      </c>
      <c r="D714" t="s">
        <v>1626</v>
      </c>
      <c r="E714">
        <v>4029490</v>
      </c>
      <c r="G714" t="s">
        <v>1626</v>
      </c>
      <c r="H714">
        <v>4340464</v>
      </c>
      <c r="J714" t="s">
        <v>1626</v>
      </c>
      <c r="K714">
        <v>4306801</v>
      </c>
      <c r="M714" t="s">
        <v>1626</v>
      </c>
      <c r="N714">
        <v>4245890</v>
      </c>
      <c r="P714" t="s">
        <v>1626</v>
      </c>
      <c r="Q714">
        <v>4179044</v>
      </c>
      <c r="S714" t="s">
        <v>1626</v>
      </c>
      <c r="T714">
        <v>4142149</v>
      </c>
      <c r="V714" t="s">
        <v>1626</v>
      </c>
      <c r="W714">
        <v>4141067</v>
      </c>
    </row>
    <row r="715" spans="1:23" x14ac:dyDescent="0.25">
      <c r="A715" s="400"/>
      <c r="B715">
        <v>0</v>
      </c>
      <c r="D715" t="s">
        <v>1627</v>
      </c>
      <c r="E715">
        <v>0</v>
      </c>
      <c r="G715" t="s">
        <v>1627</v>
      </c>
      <c r="H715">
        <v>0</v>
      </c>
      <c r="J715" t="s">
        <v>1627</v>
      </c>
      <c r="K715">
        <v>0</v>
      </c>
      <c r="M715" t="s">
        <v>1627</v>
      </c>
      <c r="N715">
        <v>0</v>
      </c>
      <c r="P715" t="s">
        <v>1627</v>
      </c>
      <c r="Q715">
        <v>0</v>
      </c>
      <c r="S715" t="s">
        <v>1627</v>
      </c>
      <c r="T715">
        <v>0</v>
      </c>
      <c r="V715" t="s">
        <v>1627</v>
      </c>
      <c r="W715">
        <v>0</v>
      </c>
    </row>
    <row r="716" spans="1:23" x14ac:dyDescent="0.25">
      <c r="A716" s="400" t="s">
        <v>1625</v>
      </c>
      <c r="B716">
        <v>4970300</v>
      </c>
      <c r="D716" t="s">
        <v>1628</v>
      </c>
      <c r="E716">
        <v>837550</v>
      </c>
      <c r="G716" t="s">
        <v>1628</v>
      </c>
      <c r="H716">
        <v>826055</v>
      </c>
      <c r="J716" t="s">
        <v>1628</v>
      </c>
      <c r="K716">
        <v>880171</v>
      </c>
      <c r="M716" t="s">
        <v>1628</v>
      </c>
      <c r="N716">
        <v>908169</v>
      </c>
      <c r="P716" t="s">
        <v>1628</v>
      </c>
      <c r="Q716">
        <v>906207</v>
      </c>
      <c r="S716" t="s">
        <v>1628</v>
      </c>
      <c r="T716">
        <v>868148</v>
      </c>
      <c r="V716" t="s">
        <v>1628</v>
      </c>
      <c r="W716">
        <v>833801</v>
      </c>
    </row>
    <row r="717" spans="1:23" x14ac:dyDescent="0.25">
      <c r="A717" s="400" t="s">
        <v>1626</v>
      </c>
      <c r="B717">
        <v>4068555</v>
      </c>
      <c r="E717">
        <v>0</v>
      </c>
      <c r="H717">
        <v>0</v>
      </c>
      <c r="K717">
        <v>0</v>
      </c>
      <c r="N717">
        <v>0</v>
      </c>
      <c r="Q717">
        <v>0</v>
      </c>
      <c r="T717">
        <v>0</v>
      </c>
      <c r="W717">
        <v>0</v>
      </c>
    </row>
    <row r="718" spans="1:23" x14ac:dyDescent="0.25">
      <c r="A718" s="400" t="s">
        <v>1627</v>
      </c>
      <c r="B718">
        <v>0</v>
      </c>
      <c r="D718" t="s">
        <v>1629</v>
      </c>
      <c r="E718">
        <v>260993618</v>
      </c>
      <c r="G718" t="s">
        <v>1629</v>
      </c>
      <c r="H718">
        <v>270053615</v>
      </c>
      <c r="J718" t="s">
        <v>1629</v>
      </c>
      <c r="K718">
        <v>278155223</v>
      </c>
      <c r="M718" t="s">
        <v>1629</v>
      </c>
      <c r="N718">
        <v>286499880</v>
      </c>
      <c r="P718" t="s">
        <v>1629</v>
      </c>
      <c r="Q718">
        <v>295094876</v>
      </c>
      <c r="S718" t="s">
        <v>1629</v>
      </c>
      <c r="T718">
        <v>303947722</v>
      </c>
      <c r="V718" t="s">
        <v>1629</v>
      </c>
      <c r="W718">
        <v>313066154</v>
      </c>
    </row>
    <row r="719" spans="1:23" x14ac:dyDescent="0.25">
      <c r="A719" s="400" t="s">
        <v>1628</v>
      </c>
      <c r="B719">
        <v>901745</v>
      </c>
      <c r="D719" t="s">
        <v>1630</v>
      </c>
      <c r="E719">
        <v>252046215</v>
      </c>
      <c r="G719" t="s">
        <v>1630</v>
      </c>
      <c r="H719">
        <v>260993618</v>
      </c>
      <c r="J719" t="s">
        <v>1630</v>
      </c>
      <c r="K719">
        <v>270053615</v>
      </c>
      <c r="M719" t="s">
        <v>1630</v>
      </c>
      <c r="N719">
        <v>278155223</v>
      </c>
      <c r="P719" t="s">
        <v>1630</v>
      </c>
      <c r="Q719">
        <v>286499880</v>
      </c>
      <c r="S719" t="s">
        <v>1630</v>
      </c>
      <c r="T719">
        <v>295094876</v>
      </c>
      <c r="V719" t="s">
        <v>1630</v>
      </c>
      <c r="W719">
        <v>303947722</v>
      </c>
    </row>
    <row r="720" spans="1:23" x14ac:dyDescent="0.25">
      <c r="A720" s="400"/>
      <c r="B720">
        <v>0</v>
      </c>
      <c r="D720" t="s">
        <v>1631</v>
      </c>
      <c r="E720">
        <v>8947403</v>
      </c>
      <c r="G720" t="s">
        <v>1631</v>
      </c>
      <c r="H720">
        <v>9059997</v>
      </c>
      <c r="J720" t="s">
        <v>1631</v>
      </c>
      <c r="K720">
        <v>8101608</v>
      </c>
      <c r="M720" t="s">
        <v>1631</v>
      </c>
      <c r="N720">
        <v>8344657</v>
      </c>
      <c r="P720" t="s">
        <v>1631</v>
      </c>
      <c r="Q720">
        <v>8594996</v>
      </c>
      <c r="S720" t="s">
        <v>1631</v>
      </c>
      <c r="T720">
        <v>8852846</v>
      </c>
      <c r="V720" t="s">
        <v>1631</v>
      </c>
      <c r="W720">
        <v>9118432</v>
      </c>
    </row>
    <row r="721" spans="1:23" x14ac:dyDescent="0.25">
      <c r="A721" s="400" t="s">
        <v>1629</v>
      </c>
      <c r="B721">
        <v>252046215</v>
      </c>
      <c r="D721" t="s">
        <v>1632</v>
      </c>
      <c r="E721">
        <v>252046215</v>
      </c>
      <c r="G721" t="s">
        <v>1632</v>
      </c>
      <c r="H721">
        <v>260993618</v>
      </c>
      <c r="J721" t="s">
        <v>1632</v>
      </c>
      <c r="K721">
        <v>270053615</v>
      </c>
      <c r="M721" t="s">
        <v>1632</v>
      </c>
      <c r="N721">
        <v>278155223</v>
      </c>
      <c r="P721" t="s">
        <v>1632</v>
      </c>
      <c r="Q721">
        <v>286499880</v>
      </c>
      <c r="S721" t="s">
        <v>1632</v>
      </c>
      <c r="T721">
        <v>295094876</v>
      </c>
      <c r="V721" t="s">
        <v>1632</v>
      </c>
      <c r="W721">
        <v>303947722</v>
      </c>
    </row>
    <row r="722" spans="1:23" x14ac:dyDescent="0.25">
      <c r="A722" s="400" t="s">
        <v>1630</v>
      </c>
      <c r="B722">
        <v>241697326</v>
      </c>
      <c r="D722" t="s">
        <v>1633</v>
      </c>
      <c r="E722">
        <v>3.5499999999999997E-2</v>
      </c>
      <c r="G722" t="s">
        <v>1633</v>
      </c>
      <c r="H722">
        <v>3.4700000000000002E-2</v>
      </c>
      <c r="J722" t="s">
        <v>1633</v>
      </c>
      <c r="K722">
        <v>0.03</v>
      </c>
      <c r="M722" t="s">
        <v>1633</v>
      </c>
      <c r="N722">
        <v>0.03</v>
      </c>
      <c r="P722" t="s">
        <v>1633</v>
      </c>
      <c r="Q722">
        <v>0.03</v>
      </c>
      <c r="S722" t="s">
        <v>1633</v>
      </c>
      <c r="T722">
        <v>0.03</v>
      </c>
      <c r="V722" t="s">
        <v>1633</v>
      </c>
      <c r="W722">
        <v>0.03</v>
      </c>
    </row>
    <row r="723" spans="1:23" x14ac:dyDescent="0.25">
      <c r="A723" s="400" t="s">
        <v>1631</v>
      </c>
      <c r="B723">
        <v>10348889</v>
      </c>
      <c r="D723" t="s">
        <v>1634</v>
      </c>
      <c r="E723">
        <v>22180</v>
      </c>
      <c r="G723" t="s">
        <v>1634</v>
      </c>
      <c r="H723">
        <v>21393</v>
      </c>
      <c r="J723" t="s">
        <v>1634</v>
      </c>
      <c r="K723">
        <v>20651</v>
      </c>
      <c r="M723" t="s">
        <v>1634</v>
      </c>
      <c r="N723">
        <v>20031</v>
      </c>
      <c r="P723" t="s">
        <v>1634</v>
      </c>
      <c r="Q723">
        <v>19430</v>
      </c>
      <c r="S723" t="s">
        <v>1634</v>
      </c>
      <c r="T723">
        <v>18847</v>
      </c>
      <c r="V723" t="s">
        <v>1634</v>
      </c>
      <c r="W723">
        <v>18282</v>
      </c>
    </row>
    <row r="724" spans="1:23" x14ac:dyDescent="0.25">
      <c r="A724" s="400" t="s">
        <v>1632</v>
      </c>
      <c r="B724">
        <v>241697326</v>
      </c>
      <c r="D724" t="s">
        <v>1635</v>
      </c>
      <c r="E724">
        <v>787</v>
      </c>
      <c r="G724" t="s">
        <v>1635</v>
      </c>
      <c r="H724">
        <v>742</v>
      </c>
      <c r="J724" t="s">
        <v>1635</v>
      </c>
      <c r="K724">
        <v>620</v>
      </c>
      <c r="M724" t="s">
        <v>1635</v>
      </c>
      <c r="N724">
        <v>601</v>
      </c>
      <c r="P724" t="s">
        <v>1635</v>
      </c>
      <c r="Q724">
        <v>583</v>
      </c>
      <c r="S724" t="s">
        <v>1635</v>
      </c>
      <c r="T724">
        <v>565</v>
      </c>
      <c r="V724" t="s">
        <v>1635</v>
      </c>
      <c r="W724">
        <v>548</v>
      </c>
    </row>
    <row r="725" spans="1:23" x14ac:dyDescent="0.25">
      <c r="A725" s="400" t="s">
        <v>1633</v>
      </c>
      <c r="B725">
        <v>4.2799999999999998E-2</v>
      </c>
      <c r="D725" t="s">
        <v>1636</v>
      </c>
      <c r="E725">
        <v>22180</v>
      </c>
      <c r="G725" t="s">
        <v>1636</v>
      </c>
      <c r="H725">
        <v>21393</v>
      </c>
      <c r="J725" t="s">
        <v>1636</v>
      </c>
      <c r="K725">
        <v>20651</v>
      </c>
      <c r="M725" t="s">
        <v>1636</v>
      </c>
      <c r="N725">
        <v>20031</v>
      </c>
      <c r="P725" t="s">
        <v>1636</v>
      </c>
      <c r="Q725">
        <v>19430</v>
      </c>
      <c r="S725" t="s">
        <v>1636</v>
      </c>
      <c r="T725">
        <v>18847</v>
      </c>
      <c r="V725" t="s">
        <v>1636</v>
      </c>
      <c r="W725">
        <v>18282</v>
      </c>
    </row>
    <row r="726" spans="1:23" x14ac:dyDescent="0.25">
      <c r="A726" s="400" t="s">
        <v>1634</v>
      </c>
      <c r="B726">
        <v>23172</v>
      </c>
      <c r="D726" t="s">
        <v>1637</v>
      </c>
      <c r="E726">
        <v>787</v>
      </c>
      <c r="G726" t="s">
        <v>1637</v>
      </c>
      <c r="H726">
        <v>742</v>
      </c>
      <c r="J726" t="s">
        <v>1637</v>
      </c>
      <c r="K726">
        <v>620</v>
      </c>
      <c r="M726" t="s">
        <v>1637</v>
      </c>
      <c r="N726">
        <v>601</v>
      </c>
      <c r="P726" t="s">
        <v>1637</v>
      </c>
      <c r="Q726">
        <v>583</v>
      </c>
      <c r="S726" t="s">
        <v>1637</v>
      </c>
      <c r="T726">
        <v>565</v>
      </c>
      <c r="V726" t="s">
        <v>1637</v>
      </c>
      <c r="W726">
        <v>548</v>
      </c>
    </row>
    <row r="727" spans="1:23" x14ac:dyDescent="0.25">
      <c r="A727" s="400" t="s">
        <v>1635</v>
      </c>
      <c r="B727">
        <v>992</v>
      </c>
      <c r="D727" t="s">
        <v>1638</v>
      </c>
      <c r="E727">
        <v>21393</v>
      </c>
      <c r="G727" t="s">
        <v>1638</v>
      </c>
      <c r="H727">
        <v>20651</v>
      </c>
      <c r="J727" t="s">
        <v>1638</v>
      </c>
      <c r="K727">
        <v>20031</v>
      </c>
      <c r="M727" t="s">
        <v>1638</v>
      </c>
      <c r="N727">
        <v>19430</v>
      </c>
      <c r="P727" t="s">
        <v>1638</v>
      </c>
      <c r="Q727">
        <v>18847</v>
      </c>
      <c r="S727" t="s">
        <v>1638</v>
      </c>
      <c r="T727">
        <v>18282</v>
      </c>
      <c r="V727" t="s">
        <v>1638</v>
      </c>
      <c r="W727">
        <v>17734</v>
      </c>
    </row>
    <row r="728" spans="1:23" x14ac:dyDescent="0.25">
      <c r="A728" s="400" t="s">
        <v>1636</v>
      </c>
      <c r="B728">
        <v>23172</v>
      </c>
      <c r="E728">
        <v>0</v>
      </c>
      <c r="H728">
        <v>0</v>
      </c>
      <c r="K728">
        <v>0</v>
      </c>
      <c r="N728">
        <v>0</v>
      </c>
      <c r="Q728">
        <v>0</v>
      </c>
      <c r="T728">
        <v>0</v>
      </c>
      <c r="W728">
        <v>0</v>
      </c>
    </row>
    <row r="729" spans="1:23" x14ac:dyDescent="0.25">
      <c r="A729" s="400" t="s">
        <v>1637</v>
      </c>
      <c r="B729">
        <v>992</v>
      </c>
      <c r="E729">
        <v>0</v>
      </c>
      <c r="H729">
        <v>0</v>
      </c>
      <c r="K729">
        <v>0</v>
      </c>
      <c r="N729">
        <v>0</v>
      </c>
      <c r="Q729">
        <v>0</v>
      </c>
      <c r="T729">
        <v>0</v>
      </c>
      <c r="W729">
        <v>0</v>
      </c>
    </row>
    <row r="730" spans="1:23" x14ac:dyDescent="0.25">
      <c r="A730" s="400" t="s">
        <v>1638</v>
      </c>
      <c r="B730">
        <v>22180</v>
      </c>
      <c r="D730" t="s">
        <v>1639</v>
      </c>
      <c r="E730">
        <v>824</v>
      </c>
      <c r="G730" t="s">
        <v>1639</v>
      </c>
      <c r="H730">
        <v>833</v>
      </c>
      <c r="J730" t="s">
        <v>1639</v>
      </c>
      <c r="K730">
        <v>833</v>
      </c>
      <c r="M730" t="s">
        <v>1639</v>
      </c>
      <c r="N730">
        <v>833</v>
      </c>
      <c r="P730" t="s">
        <v>1639</v>
      </c>
      <c r="Q730">
        <v>833</v>
      </c>
      <c r="S730" t="s">
        <v>1639</v>
      </c>
      <c r="T730">
        <v>833</v>
      </c>
      <c r="V730" t="s">
        <v>1639</v>
      </c>
      <c r="W730">
        <v>833</v>
      </c>
    </row>
    <row r="731" spans="1:23" x14ac:dyDescent="0.25">
      <c r="A731" s="400"/>
      <c r="B731">
        <v>0</v>
      </c>
      <c r="D731" t="s">
        <v>1640</v>
      </c>
      <c r="E731">
        <v>750</v>
      </c>
      <c r="G731" t="s">
        <v>1640</v>
      </c>
      <c r="H731">
        <v>750</v>
      </c>
      <c r="J731" t="s">
        <v>1640</v>
      </c>
      <c r="K731">
        <v>750</v>
      </c>
      <c r="M731" t="s">
        <v>1640</v>
      </c>
      <c r="N731">
        <v>750</v>
      </c>
      <c r="P731" t="s">
        <v>1640</v>
      </c>
      <c r="Q731">
        <v>750</v>
      </c>
      <c r="S731" t="s">
        <v>1640</v>
      </c>
      <c r="T731">
        <v>750</v>
      </c>
      <c r="V731" t="s">
        <v>1640</v>
      </c>
      <c r="W731">
        <v>750</v>
      </c>
    </row>
    <row r="732" spans="1:23" x14ac:dyDescent="0.25">
      <c r="A732" s="400"/>
      <c r="B732">
        <v>0</v>
      </c>
      <c r="D732" t="s">
        <v>1641</v>
      </c>
      <c r="E732">
        <v>74</v>
      </c>
      <c r="G732" t="s">
        <v>1641</v>
      </c>
      <c r="H732">
        <v>83</v>
      </c>
      <c r="J732" t="s">
        <v>1641</v>
      </c>
      <c r="K732">
        <v>83</v>
      </c>
      <c r="M732" t="s">
        <v>1641</v>
      </c>
      <c r="N732">
        <v>83</v>
      </c>
      <c r="P732" t="s">
        <v>1641</v>
      </c>
      <c r="Q732">
        <v>83</v>
      </c>
      <c r="S732" t="s">
        <v>1641</v>
      </c>
      <c r="T732">
        <v>83</v>
      </c>
      <c r="V732" t="s">
        <v>1641</v>
      </c>
      <c r="W732">
        <v>83</v>
      </c>
    </row>
    <row r="733" spans="1:23" x14ac:dyDescent="0.25">
      <c r="A733" s="400" t="s">
        <v>1639</v>
      </c>
      <c r="B733">
        <v>806</v>
      </c>
      <c r="D733" t="s">
        <v>1642</v>
      </c>
      <c r="E733">
        <v>609.50699999999995</v>
      </c>
      <c r="G733" t="s">
        <v>1642</v>
      </c>
      <c r="H733">
        <v>627.27099999999996</v>
      </c>
      <c r="J733" t="s">
        <v>1642</v>
      </c>
      <c r="K733">
        <v>616.57100000000003</v>
      </c>
      <c r="M733" t="s">
        <v>1642</v>
      </c>
      <c r="N733">
        <v>601.57100000000003</v>
      </c>
      <c r="P733" t="s">
        <v>1642</v>
      </c>
      <c r="Q733">
        <v>586.57100000000003</v>
      </c>
      <c r="S733" t="s">
        <v>1642</v>
      </c>
      <c r="T733">
        <v>576.57100000000003</v>
      </c>
      <c r="V733" t="s">
        <v>1642</v>
      </c>
      <c r="W733">
        <v>571.57100000000003</v>
      </c>
    </row>
    <row r="734" spans="1:23" x14ac:dyDescent="0.25">
      <c r="A734" s="400" t="s">
        <v>1640</v>
      </c>
      <c r="B734">
        <v>750</v>
      </c>
      <c r="D734" t="s">
        <v>1643</v>
      </c>
      <c r="E734">
        <v>45104</v>
      </c>
      <c r="G734" t="s">
        <v>1643</v>
      </c>
      <c r="H734">
        <v>52063</v>
      </c>
      <c r="J734" t="s">
        <v>1643</v>
      </c>
      <c r="K734">
        <v>51175</v>
      </c>
      <c r="M734" t="s">
        <v>1643</v>
      </c>
      <c r="N734">
        <v>49930</v>
      </c>
      <c r="P734" t="s">
        <v>1643</v>
      </c>
      <c r="Q734">
        <v>48685</v>
      </c>
      <c r="S734" t="s">
        <v>1643</v>
      </c>
      <c r="T734">
        <v>47855</v>
      </c>
      <c r="V734" t="s">
        <v>1643</v>
      </c>
      <c r="W734">
        <v>47440</v>
      </c>
    </row>
    <row r="735" spans="1:23" x14ac:dyDescent="0.25">
      <c r="A735" s="400" t="s">
        <v>1641</v>
      </c>
      <c r="B735">
        <v>56</v>
      </c>
      <c r="E735">
        <v>0</v>
      </c>
      <c r="H735">
        <v>0</v>
      </c>
      <c r="K735">
        <v>0</v>
      </c>
      <c r="N735">
        <v>0</v>
      </c>
      <c r="Q735">
        <v>0</v>
      </c>
      <c r="T735">
        <v>0</v>
      </c>
      <c r="W735">
        <v>0</v>
      </c>
    </row>
    <row r="736" spans="1:23" x14ac:dyDescent="0.25">
      <c r="A736" s="400" t="s">
        <v>1642</v>
      </c>
      <c r="B736">
        <v>626.61099999999999</v>
      </c>
      <c r="E736">
        <v>0</v>
      </c>
      <c r="H736">
        <v>0</v>
      </c>
      <c r="K736">
        <v>0</v>
      </c>
      <c r="N736">
        <v>0</v>
      </c>
      <c r="Q736">
        <v>0</v>
      </c>
      <c r="T736">
        <v>0</v>
      </c>
      <c r="W736">
        <v>0</v>
      </c>
    </row>
    <row r="737" spans="1:23" x14ac:dyDescent="0.25">
      <c r="A737" s="400" t="s">
        <v>1643</v>
      </c>
      <c r="B737">
        <v>35090</v>
      </c>
      <c r="D737" t="s">
        <v>1644</v>
      </c>
      <c r="E737">
        <v>609.50699999999995</v>
      </c>
      <c r="G737" t="s">
        <v>1644</v>
      </c>
      <c r="H737">
        <v>627.27099999999996</v>
      </c>
      <c r="J737" t="s">
        <v>1644</v>
      </c>
      <c r="K737">
        <v>616.57100000000003</v>
      </c>
      <c r="M737" t="s">
        <v>1644</v>
      </c>
      <c r="N737">
        <v>601.57100000000003</v>
      </c>
      <c r="P737" t="s">
        <v>1644</v>
      </c>
      <c r="Q737">
        <v>586.57100000000003</v>
      </c>
      <c r="S737" t="s">
        <v>1644</v>
      </c>
      <c r="T737">
        <v>576.57100000000003</v>
      </c>
      <c r="V737" t="s">
        <v>1644</v>
      </c>
      <c r="W737">
        <v>571.57100000000003</v>
      </c>
    </row>
    <row r="738" spans="1:23" x14ac:dyDescent="0.25">
      <c r="A738" s="400"/>
      <c r="B738">
        <v>0</v>
      </c>
      <c r="D738" t="s">
        <v>1645</v>
      </c>
      <c r="E738">
        <v>6591</v>
      </c>
      <c r="G738" t="s">
        <v>1645</v>
      </c>
      <c r="H738">
        <v>6664</v>
      </c>
      <c r="J738" t="s">
        <v>1645</v>
      </c>
      <c r="K738">
        <v>6731</v>
      </c>
      <c r="M738" t="s">
        <v>1645</v>
      </c>
      <c r="N738">
        <v>6798</v>
      </c>
      <c r="P738" t="s">
        <v>1645</v>
      </c>
      <c r="Q738">
        <v>6866</v>
      </c>
      <c r="S738" t="s">
        <v>1645</v>
      </c>
      <c r="T738">
        <v>6935</v>
      </c>
      <c r="V738" t="s">
        <v>1645</v>
      </c>
      <c r="W738">
        <v>7004</v>
      </c>
    </row>
    <row r="739" spans="1:23" x14ac:dyDescent="0.25">
      <c r="A739" s="400"/>
      <c r="B739">
        <v>0</v>
      </c>
      <c r="D739" t="s">
        <v>1646</v>
      </c>
      <c r="E739">
        <v>0.125</v>
      </c>
      <c r="G739" t="s">
        <v>1646</v>
      </c>
      <c r="H739">
        <v>0.125</v>
      </c>
      <c r="J739" t="s">
        <v>1646</v>
      </c>
      <c r="K739">
        <v>0.125</v>
      </c>
      <c r="M739" t="s">
        <v>1646</v>
      </c>
      <c r="N739">
        <v>0.125</v>
      </c>
      <c r="P739" t="s">
        <v>1646</v>
      </c>
      <c r="Q739">
        <v>0.125</v>
      </c>
      <c r="S739" t="s">
        <v>1646</v>
      </c>
      <c r="T739">
        <v>0.125</v>
      </c>
      <c r="V739" t="s">
        <v>1646</v>
      </c>
      <c r="W739">
        <v>0.125</v>
      </c>
    </row>
    <row r="740" spans="1:23" x14ac:dyDescent="0.25">
      <c r="A740" s="400" t="s">
        <v>1644</v>
      </c>
      <c r="B740">
        <v>626.61099999999999</v>
      </c>
      <c r="D740" t="s">
        <v>1647</v>
      </c>
      <c r="E740">
        <v>502234</v>
      </c>
      <c r="G740" t="s">
        <v>1647</v>
      </c>
      <c r="H740">
        <v>522517</v>
      </c>
      <c r="J740" t="s">
        <v>1647</v>
      </c>
      <c r="K740">
        <v>518536</v>
      </c>
      <c r="M740" t="s">
        <v>1647</v>
      </c>
      <c r="N740">
        <v>511335</v>
      </c>
      <c r="P740" t="s">
        <v>1647</v>
      </c>
      <c r="Q740">
        <v>503278</v>
      </c>
      <c r="S740" t="s">
        <v>1647</v>
      </c>
      <c r="T740">
        <v>499887</v>
      </c>
      <c r="V740" t="s">
        <v>1647</v>
      </c>
      <c r="W740">
        <v>500696</v>
      </c>
    </row>
    <row r="741" spans="1:23" x14ac:dyDescent="0.25">
      <c r="A741" s="400" t="s">
        <v>1645</v>
      </c>
      <c r="B741">
        <v>6446</v>
      </c>
      <c r="D741" t="s">
        <v>1648</v>
      </c>
      <c r="E741">
        <v>45104</v>
      </c>
      <c r="G741" t="s">
        <v>1648</v>
      </c>
      <c r="H741">
        <v>52063</v>
      </c>
      <c r="J741" t="s">
        <v>1648</v>
      </c>
      <c r="K741">
        <v>51175</v>
      </c>
      <c r="M741" t="s">
        <v>1648</v>
      </c>
      <c r="N741">
        <v>49930</v>
      </c>
      <c r="P741" t="s">
        <v>1648</v>
      </c>
      <c r="Q741">
        <v>48685</v>
      </c>
      <c r="S741" t="s">
        <v>1648</v>
      </c>
      <c r="T741">
        <v>47855</v>
      </c>
      <c r="V741" t="s">
        <v>1648</v>
      </c>
      <c r="W741">
        <v>47440</v>
      </c>
    </row>
    <row r="742" spans="1:23" x14ac:dyDescent="0.25">
      <c r="A742" s="400" t="s">
        <v>1646</v>
      </c>
      <c r="B742">
        <v>0.125</v>
      </c>
      <c r="D742" t="s">
        <v>1649</v>
      </c>
      <c r="E742">
        <v>457130</v>
      </c>
      <c r="G742" t="s">
        <v>1649</v>
      </c>
      <c r="H742">
        <v>470454</v>
      </c>
      <c r="J742" t="s">
        <v>1649</v>
      </c>
      <c r="K742">
        <v>467361</v>
      </c>
      <c r="M742" t="s">
        <v>1649</v>
      </c>
      <c r="N742">
        <v>461405</v>
      </c>
      <c r="P742" t="s">
        <v>1649</v>
      </c>
      <c r="Q742">
        <v>454593</v>
      </c>
      <c r="S742" t="s">
        <v>1649</v>
      </c>
      <c r="T742">
        <v>452032</v>
      </c>
      <c r="V742" t="s">
        <v>1649</v>
      </c>
      <c r="W742">
        <v>453256</v>
      </c>
    </row>
    <row r="743" spans="1:23" x14ac:dyDescent="0.25">
      <c r="A743" s="400" t="s">
        <v>1647</v>
      </c>
      <c r="B743">
        <v>505048</v>
      </c>
      <c r="D743" t="s">
        <v>1650</v>
      </c>
      <c r="E743">
        <v>260993618</v>
      </c>
      <c r="G743" t="s">
        <v>1650</v>
      </c>
      <c r="H743">
        <v>270053615</v>
      </c>
      <c r="J743" t="s">
        <v>1650</v>
      </c>
      <c r="K743">
        <v>278155223</v>
      </c>
      <c r="M743" t="s">
        <v>1650</v>
      </c>
      <c r="N743">
        <v>286499880</v>
      </c>
      <c r="P743" t="s">
        <v>1650</v>
      </c>
      <c r="Q743">
        <v>295094876</v>
      </c>
      <c r="S743" t="s">
        <v>1650</v>
      </c>
      <c r="T743">
        <v>303947722</v>
      </c>
      <c r="V743" t="s">
        <v>1650</v>
      </c>
      <c r="W743">
        <v>313066154</v>
      </c>
    </row>
    <row r="744" spans="1:23" x14ac:dyDescent="0.25">
      <c r="A744" s="400" t="s">
        <v>1648</v>
      </c>
      <c r="B744">
        <v>35090</v>
      </c>
      <c r="D744" t="s">
        <v>1651</v>
      </c>
      <c r="E744">
        <v>1.7515000000000001</v>
      </c>
      <c r="G744" t="s">
        <v>1651</v>
      </c>
      <c r="H744">
        <v>1.7420800000000001</v>
      </c>
      <c r="J744" t="s">
        <v>1651</v>
      </c>
      <c r="K744">
        <v>1.68022</v>
      </c>
      <c r="M744" t="s">
        <v>1651</v>
      </c>
      <c r="N744">
        <v>1.61049</v>
      </c>
      <c r="P744" t="s">
        <v>1651</v>
      </c>
      <c r="Q744">
        <v>1.5405</v>
      </c>
      <c r="S744" t="s">
        <v>1651</v>
      </c>
      <c r="T744">
        <v>1.4872000000000001</v>
      </c>
      <c r="V744" t="s">
        <v>1651</v>
      </c>
      <c r="W744">
        <v>1.4478</v>
      </c>
    </row>
    <row r="745" spans="1:23" x14ac:dyDescent="0.25">
      <c r="A745" s="400" t="s">
        <v>1649</v>
      </c>
      <c r="B745">
        <v>469958</v>
      </c>
      <c r="D745" t="s">
        <v>1652</v>
      </c>
      <c r="E745">
        <v>3.2430699999999999</v>
      </c>
      <c r="G745" t="s">
        <v>1652</v>
      </c>
      <c r="H745">
        <v>3.1638899999999999</v>
      </c>
      <c r="J745" t="s">
        <v>1652</v>
      </c>
      <c r="K745">
        <v>3.1638899999999999</v>
      </c>
      <c r="M745" t="s">
        <v>1652</v>
      </c>
      <c r="N745">
        <v>3.1638899999999999</v>
      </c>
      <c r="P745" t="s">
        <v>1652</v>
      </c>
      <c r="Q745">
        <v>3.1638899999999999</v>
      </c>
      <c r="S745" t="s">
        <v>1652</v>
      </c>
      <c r="T745">
        <v>3.1638899999999999</v>
      </c>
      <c r="V745" t="s">
        <v>1652</v>
      </c>
      <c r="W745">
        <v>3.1638899999999999</v>
      </c>
    </row>
    <row r="746" spans="1:23" x14ac:dyDescent="0.25">
      <c r="A746" s="400" t="s">
        <v>1650</v>
      </c>
      <c r="B746">
        <v>252046215</v>
      </c>
      <c r="D746" t="s">
        <v>1653</v>
      </c>
      <c r="E746">
        <v>0</v>
      </c>
      <c r="G746" t="s">
        <v>1653</v>
      </c>
      <c r="H746">
        <v>0</v>
      </c>
      <c r="J746" t="s">
        <v>1653</v>
      </c>
      <c r="K746">
        <v>0</v>
      </c>
      <c r="M746" t="s">
        <v>1653</v>
      </c>
      <c r="N746">
        <v>0</v>
      </c>
      <c r="P746" t="s">
        <v>1653</v>
      </c>
      <c r="Q746">
        <v>0</v>
      </c>
      <c r="S746" t="s">
        <v>1653</v>
      </c>
      <c r="T746">
        <v>0</v>
      </c>
      <c r="V746" t="s">
        <v>1653</v>
      </c>
      <c r="W746">
        <v>0</v>
      </c>
    </row>
    <row r="747" spans="1:23" x14ac:dyDescent="0.25">
      <c r="A747" s="400" t="s">
        <v>1651</v>
      </c>
      <c r="B747">
        <v>1.8645700000000001</v>
      </c>
      <c r="D747" t="s">
        <v>1654</v>
      </c>
      <c r="E747">
        <v>260993618</v>
      </c>
      <c r="G747" t="s">
        <v>1654</v>
      </c>
      <c r="H747">
        <v>270053615</v>
      </c>
      <c r="J747" t="s">
        <v>1654</v>
      </c>
      <c r="K747">
        <v>278155223</v>
      </c>
      <c r="M747" t="s">
        <v>1654</v>
      </c>
      <c r="N747">
        <v>286499880</v>
      </c>
      <c r="P747" t="s">
        <v>1654</v>
      </c>
      <c r="Q747">
        <v>295094876</v>
      </c>
      <c r="S747" t="s">
        <v>1654</v>
      </c>
      <c r="T747">
        <v>303947722</v>
      </c>
      <c r="V747" t="s">
        <v>1654</v>
      </c>
      <c r="W747">
        <v>313066154</v>
      </c>
    </row>
    <row r="748" spans="1:23" x14ac:dyDescent="0.25">
      <c r="A748" s="400" t="s">
        <v>1652</v>
      </c>
      <c r="B748">
        <v>3.4121000000000001</v>
      </c>
      <c r="D748" t="s">
        <v>1655</v>
      </c>
      <c r="E748">
        <v>0</v>
      </c>
      <c r="G748" t="s">
        <v>1655</v>
      </c>
      <c r="H748">
        <v>0</v>
      </c>
      <c r="J748" t="s">
        <v>1655</v>
      </c>
      <c r="K748">
        <v>0</v>
      </c>
      <c r="M748" t="s">
        <v>1655</v>
      </c>
      <c r="N748">
        <v>0</v>
      </c>
      <c r="P748" t="s">
        <v>1655</v>
      </c>
      <c r="Q748">
        <v>0</v>
      </c>
      <c r="S748" t="s">
        <v>1655</v>
      </c>
      <c r="T748">
        <v>0</v>
      </c>
      <c r="V748" t="s">
        <v>1655</v>
      </c>
      <c r="W748">
        <v>0</v>
      </c>
    </row>
    <row r="749" spans="1:23" x14ac:dyDescent="0.25">
      <c r="A749" s="400" t="s">
        <v>1653</v>
      </c>
      <c r="B749">
        <v>0</v>
      </c>
      <c r="E749">
        <v>0</v>
      </c>
      <c r="H749">
        <v>0</v>
      </c>
      <c r="K749">
        <v>0</v>
      </c>
      <c r="N749">
        <v>0</v>
      </c>
      <c r="Q749">
        <v>0</v>
      </c>
      <c r="T749">
        <v>0</v>
      </c>
      <c r="W749">
        <v>0</v>
      </c>
    </row>
    <row r="750" spans="1:23" x14ac:dyDescent="0.25">
      <c r="A750" s="400" t="s">
        <v>1654</v>
      </c>
      <c r="B750">
        <v>252046215</v>
      </c>
      <c r="E750">
        <v>0</v>
      </c>
      <c r="H750">
        <v>0</v>
      </c>
      <c r="K750">
        <v>0</v>
      </c>
      <c r="N750">
        <v>0</v>
      </c>
      <c r="Q750">
        <v>0</v>
      </c>
      <c r="T750">
        <v>0</v>
      </c>
      <c r="W750">
        <v>0</v>
      </c>
    </row>
    <row r="751" spans="1:23" x14ac:dyDescent="0.25">
      <c r="A751" s="400" t="s">
        <v>1655</v>
      </c>
      <c r="B751">
        <v>0</v>
      </c>
      <c r="D751" t="s">
        <v>1656</v>
      </c>
      <c r="E751">
        <v>6591</v>
      </c>
      <c r="G751" t="s">
        <v>1656</v>
      </c>
      <c r="H751">
        <v>6664</v>
      </c>
      <c r="J751" t="s">
        <v>1656</v>
      </c>
      <c r="K751">
        <v>6731</v>
      </c>
      <c r="M751" t="s">
        <v>1656</v>
      </c>
      <c r="N751">
        <v>6798</v>
      </c>
      <c r="P751" t="s">
        <v>1656</v>
      </c>
      <c r="Q751">
        <v>6866</v>
      </c>
      <c r="S751" t="s">
        <v>1656</v>
      </c>
      <c r="T751">
        <v>6935</v>
      </c>
      <c r="V751" t="s">
        <v>1656</v>
      </c>
      <c r="W751">
        <v>7004</v>
      </c>
    </row>
    <row r="752" spans="1:23" x14ac:dyDescent="0.25">
      <c r="A752" s="400"/>
      <c r="B752">
        <v>0</v>
      </c>
      <c r="D752" t="s">
        <v>1657</v>
      </c>
      <c r="E752">
        <v>0</v>
      </c>
      <c r="G752" t="s">
        <v>1657</v>
      </c>
      <c r="H752">
        <v>0</v>
      </c>
      <c r="J752" t="s">
        <v>1657</v>
      </c>
      <c r="K752">
        <v>0</v>
      </c>
      <c r="M752" t="s">
        <v>1657</v>
      </c>
      <c r="N752">
        <v>0</v>
      </c>
      <c r="P752" t="s">
        <v>1657</v>
      </c>
      <c r="Q752">
        <v>0</v>
      </c>
      <c r="S752" t="s">
        <v>1657</v>
      </c>
      <c r="T752">
        <v>0</v>
      </c>
      <c r="V752" t="s">
        <v>1657</v>
      </c>
      <c r="W752">
        <v>0</v>
      </c>
    </row>
    <row r="753" spans="1:23" x14ac:dyDescent="0.25">
      <c r="A753" s="400"/>
      <c r="B753">
        <v>0</v>
      </c>
      <c r="D753" t="s">
        <v>1658</v>
      </c>
      <c r="E753">
        <v>0</v>
      </c>
      <c r="G753" t="s">
        <v>1658</v>
      </c>
      <c r="H753">
        <v>0</v>
      </c>
      <c r="J753" t="s">
        <v>1658</v>
      </c>
      <c r="K753">
        <v>0</v>
      </c>
      <c r="M753" t="s">
        <v>1658</v>
      </c>
      <c r="N753">
        <v>0</v>
      </c>
      <c r="P753" t="s">
        <v>1658</v>
      </c>
      <c r="Q753">
        <v>0</v>
      </c>
      <c r="S753" t="s">
        <v>1658</v>
      </c>
      <c r="T753">
        <v>0</v>
      </c>
      <c r="V753" t="s">
        <v>1658</v>
      </c>
      <c r="W753">
        <v>0</v>
      </c>
    </row>
    <row r="754" spans="1:23" x14ac:dyDescent="0.25">
      <c r="A754" s="400" t="s">
        <v>1656</v>
      </c>
      <c r="B754">
        <v>6446</v>
      </c>
      <c r="D754" t="s">
        <v>1659</v>
      </c>
      <c r="E754">
        <v>609.50699999999995</v>
      </c>
      <c r="G754" t="s">
        <v>1659</v>
      </c>
      <c r="H754">
        <v>627.27099999999996</v>
      </c>
      <c r="J754" t="s">
        <v>1659</v>
      </c>
      <c r="K754">
        <v>616.57100000000003</v>
      </c>
      <c r="M754" t="s">
        <v>1659</v>
      </c>
      <c r="N754">
        <v>601.57100000000003</v>
      </c>
      <c r="P754" t="s">
        <v>1659</v>
      </c>
      <c r="Q754">
        <v>586.57100000000003</v>
      </c>
      <c r="S754" t="s">
        <v>1659</v>
      </c>
      <c r="T754">
        <v>576.57100000000003</v>
      </c>
      <c r="V754" t="s">
        <v>1659</v>
      </c>
      <c r="W754">
        <v>571.57100000000003</v>
      </c>
    </row>
    <row r="755" spans="1:23" x14ac:dyDescent="0.25">
      <c r="A755" s="400" t="s">
        <v>1657</v>
      </c>
      <c r="B755">
        <v>0</v>
      </c>
      <c r="D755" t="s">
        <v>1660</v>
      </c>
      <c r="E755">
        <v>0</v>
      </c>
      <c r="G755" t="s">
        <v>1660</v>
      </c>
      <c r="H755">
        <v>0</v>
      </c>
      <c r="J755" t="s">
        <v>1660</v>
      </c>
      <c r="K755">
        <v>0</v>
      </c>
      <c r="M755" t="s">
        <v>1660</v>
      </c>
      <c r="N755">
        <v>0</v>
      </c>
      <c r="P755" t="s">
        <v>1660</v>
      </c>
      <c r="Q755">
        <v>0</v>
      </c>
      <c r="S755" t="s">
        <v>1660</v>
      </c>
      <c r="T755">
        <v>0</v>
      </c>
      <c r="V755" t="s">
        <v>1660</v>
      </c>
      <c r="W755">
        <v>0</v>
      </c>
    </row>
    <row r="756" spans="1:23" x14ac:dyDescent="0.25">
      <c r="A756" s="400" t="s">
        <v>1658</v>
      </c>
      <c r="B756">
        <v>0</v>
      </c>
      <c r="E756">
        <v>0</v>
      </c>
      <c r="H756">
        <v>0</v>
      </c>
      <c r="K756">
        <v>0</v>
      </c>
      <c r="N756">
        <v>0</v>
      </c>
      <c r="Q756">
        <v>0</v>
      </c>
      <c r="T756">
        <v>0</v>
      </c>
      <c r="W756">
        <v>0</v>
      </c>
    </row>
    <row r="757" spans="1:23" x14ac:dyDescent="0.25">
      <c r="A757" s="400" t="s">
        <v>1659</v>
      </c>
      <c r="B757">
        <v>626.61099999999999</v>
      </c>
      <c r="E757">
        <v>0</v>
      </c>
      <c r="H757">
        <v>0</v>
      </c>
      <c r="K757">
        <v>0</v>
      </c>
      <c r="N757">
        <v>0</v>
      </c>
      <c r="Q757">
        <v>0</v>
      </c>
      <c r="T757">
        <v>0</v>
      </c>
      <c r="W757">
        <v>0</v>
      </c>
    </row>
    <row r="758" spans="1:23" x14ac:dyDescent="0.25">
      <c r="A758" s="400" t="s">
        <v>1660</v>
      </c>
      <c r="B758">
        <v>0</v>
      </c>
      <c r="D758" t="s">
        <v>1661</v>
      </c>
      <c r="E758">
        <v>837550</v>
      </c>
      <c r="G758" t="s">
        <v>1661</v>
      </c>
      <c r="H758">
        <v>826055</v>
      </c>
      <c r="J758" t="s">
        <v>1661</v>
      </c>
      <c r="K758">
        <v>880171</v>
      </c>
      <c r="M758" t="s">
        <v>1661</v>
      </c>
      <c r="N758">
        <v>908169</v>
      </c>
      <c r="P758" t="s">
        <v>1661</v>
      </c>
      <c r="Q758">
        <v>906207</v>
      </c>
      <c r="S758" t="s">
        <v>1661</v>
      </c>
      <c r="T758">
        <v>868148</v>
      </c>
      <c r="V758" t="s">
        <v>1661</v>
      </c>
      <c r="W758">
        <v>833801</v>
      </c>
    </row>
    <row r="759" spans="1:23" x14ac:dyDescent="0.25">
      <c r="A759" s="400"/>
      <c r="B759">
        <v>0</v>
      </c>
      <c r="D759" t="s">
        <v>1662</v>
      </c>
      <c r="E759">
        <v>21393</v>
      </c>
      <c r="G759" t="s">
        <v>1662</v>
      </c>
      <c r="H759">
        <v>20651</v>
      </c>
      <c r="J759" t="s">
        <v>1662</v>
      </c>
      <c r="K759">
        <v>20031</v>
      </c>
      <c r="M759" t="s">
        <v>1662</v>
      </c>
      <c r="N759">
        <v>19430</v>
      </c>
      <c r="P759" t="s">
        <v>1662</v>
      </c>
      <c r="Q759">
        <v>18847</v>
      </c>
      <c r="S759" t="s">
        <v>1662</v>
      </c>
      <c r="T759">
        <v>18282</v>
      </c>
      <c r="V759" t="s">
        <v>1662</v>
      </c>
      <c r="W759">
        <v>17734</v>
      </c>
    </row>
    <row r="760" spans="1:23" x14ac:dyDescent="0.25">
      <c r="A760" s="400"/>
      <c r="B760">
        <v>0</v>
      </c>
      <c r="D760" t="s">
        <v>1663</v>
      </c>
      <c r="E760">
        <v>0</v>
      </c>
      <c r="G760" t="s">
        <v>1663</v>
      </c>
      <c r="H760">
        <v>0</v>
      </c>
      <c r="J760" t="s">
        <v>1663</v>
      </c>
      <c r="K760">
        <v>0</v>
      </c>
      <c r="M760" t="s">
        <v>1663</v>
      </c>
      <c r="N760">
        <v>0</v>
      </c>
      <c r="P760" t="s">
        <v>1663</v>
      </c>
      <c r="Q760">
        <v>0</v>
      </c>
      <c r="S760" t="s">
        <v>1663</v>
      </c>
      <c r="T760">
        <v>0</v>
      </c>
      <c r="V760" t="s">
        <v>1663</v>
      </c>
      <c r="W760">
        <v>0</v>
      </c>
    </row>
    <row r="761" spans="1:23" x14ac:dyDescent="0.25">
      <c r="A761" s="400" t="s">
        <v>1661</v>
      </c>
      <c r="B761">
        <v>901745</v>
      </c>
      <c r="D761" t="s">
        <v>1664</v>
      </c>
      <c r="E761">
        <v>0</v>
      </c>
      <c r="G761" t="s">
        <v>1664</v>
      </c>
      <c r="H761">
        <v>0</v>
      </c>
      <c r="J761" t="s">
        <v>1664</v>
      </c>
      <c r="K761">
        <v>0</v>
      </c>
      <c r="M761" t="s">
        <v>1664</v>
      </c>
      <c r="N761">
        <v>0</v>
      </c>
      <c r="P761" t="s">
        <v>1664</v>
      </c>
      <c r="Q761">
        <v>0</v>
      </c>
      <c r="S761" t="s">
        <v>1664</v>
      </c>
      <c r="T761">
        <v>0</v>
      </c>
      <c r="V761" t="s">
        <v>1664</v>
      </c>
      <c r="W761">
        <v>0</v>
      </c>
    </row>
    <row r="762" spans="1:23" x14ac:dyDescent="0.25">
      <c r="A762" s="400" t="s">
        <v>1662</v>
      </c>
      <c r="B762">
        <v>22180</v>
      </c>
      <c r="D762" t="s">
        <v>1665</v>
      </c>
      <c r="E762">
        <v>36254</v>
      </c>
      <c r="G762" t="s">
        <v>1665</v>
      </c>
      <c r="H762">
        <v>31091</v>
      </c>
      <c r="J762" t="s">
        <v>1665</v>
      </c>
      <c r="K762">
        <v>10440</v>
      </c>
      <c r="M762" t="s">
        <v>1665</v>
      </c>
      <c r="N762">
        <v>10440</v>
      </c>
      <c r="P762" t="s">
        <v>1665</v>
      </c>
      <c r="Q762">
        <v>10440</v>
      </c>
      <c r="S762" t="s">
        <v>1665</v>
      </c>
      <c r="T762">
        <v>10440</v>
      </c>
      <c r="V762" t="s">
        <v>1665</v>
      </c>
      <c r="W762">
        <v>10440</v>
      </c>
    </row>
    <row r="763" spans="1:23" x14ac:dyDescent="0.25">
      <c r="A763" s="400" t="s">
        <v>1663</v>
      </c>
      <c r="B763">
        <v>0</v>
      </c>
      <c r="D763" t="s">
        <v>1666</v>
      </c>
      <c r="E763">
        <v>45104</v>
      </c>
      <c r="G763" t="s">
        <v>1666</v>
      </c>
      <c r="H763">
        <v>52063</v>
      </c>
      <c r="J763" t="s">
        <v>1666</v>
      </c>
      <c r="K763">
        <v>51175</v>
      </c>
      <c r="M763" t="s">
        <v>1666</v>
      </c>
      <c r="N763">
        <v>49930</v>
      </c>
      <c r="P763" t="s">
        <v>1666</v>
      </c>
      <c r="Q763">
        <v>48685</v>
      </c>
      <c r="S763" t="s">
        <v>1666</v>
      </c>
      <c r="T763">
        <v>47855</v>
      </c>
      <c r="V763" t="s">
        <v>1666</v>
      </c>
      <c r="W763">
        <v>47440</v>
      </c>
    </row>
    <row r="764" spans="1:23" x14ac:dyDescent="0.25">
      <c r="A764" s="400" t="s">
        <v>1664</v>
      </c>
      <c r="B764">
        <v>0</v>
      </c>
      <c r="D764" t="s">
        <v>1667</v>
      </c>
      <c r="E764">
        <v>0</v>
      </c>
      <c r="G764" t="s">
        <v>1667</v>
      </c>
      <c r="H764">
        <v>0</v>
      </c>
      <c r="J764" t="s">
        <v>1667</v>
      </c>
      <c r="K764">
        <v>0</v>
      </c>
      <c r="M764" t="s">
        <v>1667</v>
      </c>
      <c r="N764">
        <v>0</v>
      </c>
      <c r="P764" t="s">
        <v>1667</v>
      </c>
      <c r="Q764">
        <v>0</v>
      </c>
      <c r="S764" t="s">
        <v>1667</v>
      </c>
      <c r="T764">
        <v>0</v>
      </c>
      <c r="V764" t="s">
        <v>1667</v>
      </c>
      <c r="W764">
        <v>0</v>
      </c>
    </row>
    <row r="765" spans="1:23" x14ac:dyDescent="0.25">
      <c r="A765" s="400" t="s">
        <v>1665</v>
      </c>
      <c r="B765">
        <v>31091</v>
      </c>
      <c r="D765" t="s">
        <v>1668</v>
      </c>
      <c r="E765">
        <v>0</v>
      </c>
      <c r="G765" t="s">
        <v>1668</v>
      </c>
      <c r="H765">
        <v>0</v>
      </c>
      <c r="J765" t="s">
        <v>1668</v>
      </c>
      <c r="K765">
        <v>0</v>
      </c>
      <c r="M765" t="s">
        <v>1668</v>
      </c>
      <c r="N765">
        <v>0</v>
      </c>
      <c r="P765" t="s">
        <v>1668</v>
      </c>
      <c r="Q765">
        <v>0</v>
      </c>
      <c r="S765" t="s">
        <v>1668</v>
      </c>
      <c r="T765">
        <v>0</v>
      </c>
      <c r="V765" t="s">
        <v>1668</v>
      </c>
      <c r="W765">
        <v>0</v>
      </c>
    </row>
    <row r="766" spans="1:23" x14ac:dyDescent="0.25">
      <c r="A766" s="400" t="s">
        <v>1666</v>
      </c>
      <c r="B766">
        <v>35090</v>
      </c>
      <c r="D766" t="s">
        <v>1669</v>
      </c>
      <c r="E766">
        <v>807307</v>
      </c>
      <c r="G766" t="s">
        <v>1669</v>
      </c>
      <c r="H766">
        <v>784432</v>
      </c>
      <c r="J766" t="s">
        <v>1669</v>
      </c>
      <c r="K766">
        <v>819405</v>
      </c>
      <c r="M766" t="s">
        <v>1669</v>
      </c>
      <c r="N766">
        <v>849249</v>
      </c>
      <c r="P766" t="s">
        <v>1669</v>
      </c>
      <c r="Q766">
        <v>849115</v>
      </c>
      <c r="S766" t="s">
        <v>1669</v>
      </c>
      <c r="T766">
        <v>812451</v>
      </c>
      <c r="V766" t="s">
        <v>1669</v>
      </c>
      <c r="W766">
        <v>779067</v>
      </c>
    </row>
    <row r="767" spans="1:23" x14ac:dyDescent="0.25">
      <c r="A767" s="400" t="s">
        <v>1667</v>
      </c>
      <c r="B767">
        <v>0</v>
      </c>
      <c r="E767">
        <v>0</v>
      </c>
      <c r="H767">
        <v>0</v>
      </c>
      <c r="K767">
        <v>0</v>
      </c>
      <c r="N767">
        <v>0</v>
      </c>
      <c r="Q767">
        <v>0</v>
      </c>
      <c r="T767">
        <v>0</v>
      </c>
      <c r="W767">
        <v>0</v>
      </c>
    </row>
    <row r="768" spans="1:23" x14ac:dyDescent="0.25">
      <c r="A768" s="400" t="s">
        <v>1668</v>
      </c>
      <c r="B768">
        <v>0</v>
      </c>
      <c r="E768">
        <v>0</v>
      </c>
      <c r="H768">
        <v>0</v>
      </c>
      <c r="K768">
        <v>0</v>
      </c>
      <c r="N768">
        <v>0</v>
      </c>
      <c r="Q768">
        <v>0</v>
      </c>
      <c r="T768">
        <v>0</v>
      </c>
      <c r="W768">
        <v>0</v>
      </c>
    </row>
    <row r="769" spans="1:23" x14ac:dyDescent="0.25">
      <c r="A769" s="400" t="s">
        <v>1669</v>
      </c>
      <c r="B769">
        <v>875566</v>
      </c>
      <c r="D769" t="s">
        <v>1670</v>
      </c>
      <c r="E769">
        <v>2615473</v>
      </c>
      <c r="G769" t="s">
        <v>1670</v>
      </c>
      <c r="H769">
        <v>2875947</v>
      </c>
      <c r="J769" t="s">
        <v>1670</v>
      </c>
      <c r="K769">
        <v>2799972</v>
      </c>
      <c r="M769" t="s">
        <v>1670</v>
      </c>
      <c r="N769">
        <v>2693992</v>
      </c>
      <c r="P769" t="s">
        <v>1670</v>
      </c>
      <c r="Q769">
        <v>2580727</v>
      </c>
      <c r="S769" t="s">
        <v>1670</v>
      </c>
      <c r="T769">
        <v>2496018</v>
      </c>
      <c r="V769" t="s">
        <v>1670</v>
      </c>
      <c r="W769">
        <v>2445689</v>
      </c>
    </row>
    <row r="770" spans="1:23" x14ac:dyDescent="0.25">
      <c r="A770" s="400"/>
      <c r="B770">
        <v>0</v>
      </c>
      <c r="D770" t="s">
        <v>1671</v>
      </c>
      <c r="E770">
        <v>0</v>
      </c>
      <c r="G770" t="s">
        <v>1671</v>
      </c>
      <c r="H770">
        <v>0</v>
      </c>
      <c r="J770" t="s">
        <v>1671</v>
      </c>
      <c r="K770">
        <v>0</v>
      </c>
      <c r="M770" t="s">
        <v>1671</v>
      </c>
      <c r="N770">
        <v>0</v>
      </c>
      <c r="P770" t="s">
        <v>1671</v>
      </c>
      <c r="Q770">
        <v>0</v>
      </c>
      <c r="S770" t="s">
        <v>1671</v>
      </c>
      <c r="T770">
        <v>0</v>
      </c>
      <c r="V770" t="s">
        <v>1671</v>
      </c>
      <c r="W770">
        <v>0</v>
      </c>
    </row>
    <row r="771" spans="1:23" x14ac:dyDescent="0.25">
      <c r="A771" s="400"/>
      <c r="B771">
        <v>0</v>
      </c>
      <c r="D771" t="s">
        <v>1672</v>
      </c>
      <c r="E771">
        <v>21393</v>
      </c>
      <c r="G771" t="s">
        <v>1672</v>
      </c>
      <c r="H771">
        <v>20651</v>
      </c>
      <c r="J771" t="s">
        <v>1672</v>
      </c>
      <c r="K771">
        <v>20031</v>
      </c>
      <c r="M771" t="s">
        <v>1672</v>
      </c>
      <c r="N771">
        <v>19430</v>
      </c>
      <c r="P771" t="s">
        <v>1672</v>
      </c>
      <c r="Q771">
        <v>18847</v>
      </c>
      <c r="S771" t="s">
        <v>1672</v>
      </c>
      <c r="T771">
        <v>18282</v>
      </c>
      <c r="V771" t="s">
        <v>1672</v>
      </c>
      <c r="W771">
        <v>17734</v>
      </c>
    </row>
    <row r="772" spans="1:23" x14ac:dyDescent="0.25">
      <c r="A772" s="400" t="s">
        <v>1670</v>
      </c>
      <c r="B772">
        <v>2701116</v>
      </c>
      <c r="D772" t="s">
        <v>1673</v>
      </c>
      <c r="E772">
        <v>0</v>
      </c>
      <c r="G772" t="s">
        <v>1673</v>
      </c>
      <c r="H772">
        <v>0</v>
      </c>
      <c r="J772" t="s">
        <v>1673</v>
      </c>
      <c r="K772">
        <v>0</v>
      </c>
      <c r="M772" t="s">
        <v>1673</v>
      </c>
      <c r="N772">
        <v>0</v>
      </c>
      <c r="P772" t="s">
        <v>1673</v>
      </c>
      <c r="Q772">
        <v>0</v>
      </c>
      <c r="S772" t="s">
        <v>1673</v>
      </c>
      <c r="T772">
        <v>0</v>
      </c>
      <c r="V772" t="s">
        <v>1673</v>
      </c>
      <c r="W772">
        <v>0</v>
      </c>
    </row>
    <row r="773" spans="1:23" x14ac:dyDescent="0.25">
      <c r="A773" s="400" t="s">
        <v>1671</v>
      </c>
      <c r="B773">
        <v>0</v>
      </c>
      <c r="D773" t="s">
        <v>1674</v>
      </c>
      <c r="E773">
        <v>0</v>
      </c>
      <c r="G773" t="s">
        <v>1674</v>
      </c>
      <c r="H773">
        <v>0</v>
      </c>
      <c r="J773" t="s">
        <v>1674</v>
      </c>
      <c r="K773">
        <v>0</v>
      </c>
      <c r="M773" t="s">
        <v>1674</v>
      </c>
      <c r="N773">
        <v>0</v>
      </c>
      <c r="P773" t="s">
        <v>1674</v>
      </c>
      <c r="Q773">
        <v>0</v>
      </c>
      <c r="S773" t="s">
        <v>1674</v>
      </c>
      <c r="T773">
        <v>0</v>
      </c>
      <c r="V773" t="s">
        <v>1674</v>
      </c>
      <c r="W773">
        <v>0</v>
      </c>
    </row>
    <row r="774" spans="1:23" x14ac:dyDescent="0.25">
      <c r="A774" s="400" t="s">
        <v>1672</v>
      </c>
      <c r="B774">
        <v>22180</v>
      </c>
      <c r="D774" t="s">
        <v>1675</v>
      </c>
      <c r="E774">
        <v>36254</v>
      </c>
      <c r="G774" t="s">
        <v>1675</v>
      </c>
      <c r="H774">
        <v>31091</v>
      </c>
      <c r="J774" t="s">
        <v>1675</v>
      </c>
      <c r="K774">
        <v>10440</v>
      </c>
      <c r="M774" t="s">
        <v>1675</v>
      </c>
      <c r="N774">
        <v>10440</v>
      </c>
      <c r="P774" t="s">
        <v>1675</v>
      </c>
      <c r="Q774">
        <v>10440</v>
      </c>
      <c r="S774" t="s">
        <v>1675</v>
      </c>
      <c r="T774">
        <v>10440</v>
      </c>
      <c r="V774" t="s">
        <v>1675</v>
      </c>
      <c r="W774">
        <v>10440</v>
      </c>
    </row>
    <row r="775" spans="1:23" x14ac:dyDescent="0.25">
      <c r="A775" s="400" t="s">
        <v>1673</v>
      </c>
      <c r="B775">
        <v>0</v>
      </c>
      <c r="D775" t="s">
        <v>1676</v>
      </c>
      <c r="E775">
        <v>45104</v>
      </c>
      <c r="G775" t="s">
        <v>1676</v>
      </c>
      <c r="H775">
        <v>52063</v>
      </c>
      <c r="J775" t="s">
        <v>1676</v>
      </c>
      <c r="K775">
        <v>51175</v>
      </c>
      <c r="M775" t="s">
        <v>1676</v>
      </c>
      <c r="N775">
        <v>49930</v>
      </c>
      <c r="P775" t="s">
        <v>1676</v>
      </c>
      <c r="Q775">
        <v>48685</v>
      </c>
      <c r="S775" t="s">
        <v>1676</v>
      </c>
      <c r="T775">
        <v>47855</v>
      </c>
      <c r="V775" t="s">
        <v>1676</v>
      </c>
      <c r="W775">
        <v>47440</v>
      </c>
    </row>
    <row r="776" spans="1:23" x14ac:dyDescent="0.25">
      <c r="A776" s="400" t="s">
        <v>1674</v>
      </c>
      <c r="B776">
        <v>0</v>
      </c>
      <c r="D776" t="s">
        <v>1677</v>
      </c>
      <c r="E776">
        <v>0</v>
      </c>
      <c r="G776" t="s">
        <v>1677</v>
      </c>
      <c r="H776">
        <v>0</v>
      </c>
      <c r="J776" t="s">
        <v>1677</v>
      </c>
      <c r="K776">
        <v>0</v>
      </c>
      <c r="M776" t="s">
        <v>1677</v>
      </c>
      <c r="N776">
        <v>0</v>
      </c>
      <c r="P776" t="s">
        <v>1677</v>
      </c>
      <c r="Q776">
        <v>0</v>
      </c>
      <c r="S776" t="s">
        <v>1677</v>
      </c>
      <c r="T776">
        <v>0</v>
      </c>
      <c r="V776" t="s">
        <v>1677</v>
      </c>
      <c r="W776">
        <v>0</v>
      </c>
    </row>
    <row r="777" spans="1:23" x14ac:dyDescent="0.25">
      <c r="A777" s="400" t="s">
        <v>1675</v>
      </c>
      <c r="B777">
        <v>31091</v>
      </c>
      <c r="D777" t="s">
        <v>1678</v>
      </c>
      <c r="E777">
        <v>0</v>
      </c>
      <c r="G777" t="s">
        <v>1678</v>
      </c>
      <c r="H777">
        <v>0</v>
      </c>
      <c r="J777" t="s">
        <v>1678</v>
      </c>
      <c r="K777">
        <v>0</v>
      </c>
      <c r="M777" t="s">
        <v>1678</v>
      </c>
      <c r="N777">
        <v>0</v>
      </c>
      <c r="P777" t="s">
        <v>1678</v>
      </c>
      <c r="Q777">
        <v>0</v>
      </c>
      <c r="S777" t="s">
        <v>1678</v>
      </c>
      <c r="T777">
        <v>0</v>
      </c>
      <c r="V777" t="s">
        <v>1678</v>
      </c>
      <c r="W777">
        <v>0</v>
      </c>
    </row>
    <row r="778" spans="1:23" x14ac:dyDescent="0.25">
      <c r="A778" s="400" t="s">
        <v>1676</v>
      </c>
      <c r="B778">
        <v>35090</v>
      </c>
      <c r="D778" t="s">
        <v>1679</v>
      </c>
      <c r="E778">
        <v>0</v>
      </c>
      <c r="G778" t="s">
        <v>1679</v>
      </c>
      <c r="H778">
        <v>0</v>
      </c>
      <c r="J778" t="s">
        <v>1679</v>
      </c>
      <c r="K778">
        <v>0</v>
      </c>
      <c r="M778" t="s">
        <v>1679</v>
      </c>
      <c r="N778">
        <v>0</v>
      </c>
      <c r="P778" t="s">
        <v>1679</v>
      </c>
      <c r="Q778">
        <v>0</v>
      </c>
      <c r="S778" t="s">
        <v>1679</v>
      </c>
      <c r="T778">
        <v>0</v>
      </c>
      <c r="V778" t="s">
        <v>1679</v>
      </c>
      <c r="W778">
        <v>0</v>
      </c>
    </row>
    <row r="779" spans="1:23" x14ac:dyDescent="0.25">
      <c r="A779" s="400" t="s">
        <v>1677</v>
      </c>
      <c r="B779">
        <v>0</v>
      </c>
      <c r="D779" t="s">
        <v>1680</v>
      </c>
      <c r="E779">
        <v>62615</v>
      </c>
      <c r="G779" t="s">
        <v>1680</v>
      </c>
      <c r="H779">
        <v>79968</v>
      </c>
      <c r="J779" t="s">
        <v>1680</v>
      </c>
      <c r="K779">
        <v>80772</v>
      </c>
      <c r="M779" t="s">
        <v>1680</v>
      </c>
      <c r="N779">
        <v>81576</v>
      </c>
      <c r="P779" t="s">
        <v>1680</v>
      </c>
      <c r="Q779">
        <v>82392</v>
      </c>
      <c r="S779" t="s">
        <v>1680</v>
      </c>
      <c r="T779">
        <v>83220</v>
      </c>
      <c r="V779" t="s">
        <v>1680</v>
      </c>
      <c r="W779">
        <v>84048</v>
      </c>
    </row>
    <row r="780" spans="1:23" x14ac:dyDescent="0.25">
      <c r="A780" s="400" t="s">
        <v>1678</v>
      </c>
      <c r="B780">
        <v>0</v>
      </c>
      <c r="D780" t="s">
        <v>1681</v>
      </c>
      <c r="E780">
        <v>2708331</v>
      </c>
      <c r="G780" t="s">
        <v>1681</v>
      </c>
      <c r="H780">
        <v>2997538</v>
      </c>
      <c r="J780" t="s">
        <v>1681</v>
      </c>
      <c r="K780">
        <v>2941510</v>
      </c>
      <c r="M780" t="s">
        <v>1681</v>
      </c>
      <c r="N780">
        <v>2834488</v>
      </c>
      <c r="P780" t="s">
        <v>1681</v>
      </c>
      <c r="Q780">
        <v>2720211</v>
      </c>
      <c r="S780" t="s">
        <v>1681</v>
      </c>
      <c r="T780">
        <v>2634935</v>
      </c>
      <c r="V780" t="s">
        <v>1681</v>
      </c>
      <c r="W780">
        <v>2584471</v>
      </c>
    </row>
    <row r="781" spans="1:23" x14ac:dyDescent="0.25">
      <c r="A781" s="400" t="s">
        <v>1679</v>
      </c>
      <c r="B781">
        <v>0</v>
      </c>
      <c r="E781">
        <v>0</v>
      </c>
      <c r="H781">
        <v>0</v>
      </c>
      <c r="K781">
        <v>0</v>
      </c>
      <c r="N781">
        <v>0</v>
      </c>
      <c r="Q781">
        <v>0</v>
      </c>
      <c r="T781">
        <v>0</v>
      </c>
      <c r="W781">
        <v>0</v>
      </c>
    </row>
    <row r="782" spans="1:23" x14ac:dyDescent="0.25">
      <c r="A782" s="400" t="s">
        <v>1680</v>
      </c>
      <c r="B782">
        <v>103136</v>
      </c>
      <c r="E782">
        <v>0</v>
      </c>
      <c r="H782">
        <v>0</v>
      </c>
      <c r="K782">
        <v>0</v>
      </c>
      <c r="N782">
        <v>0</v>
      </c>
      <c r="Q782">
        <v>0</v>
      </c>
      <c r="T782">
        <v>0</v>
      </c>
      <c r="W782">
        <v>0</v>
      </c>
    </row>
    <row r="783" spans="1:23" x14ac:dyDescent="0.25">
      <c r="A783" s="400" t="s">
        <v>1681</v>
      </c>
      <c r="B783">
        <v>2830431</v>
      </c>
      <c r="D783" t="s">
        <v>1682</v>
      </c>
      <c r="E783">
        <v>3520358</v>
      </c>
      <c r="G783" t="s">
        <v>1682</v>
      </c>
      <c r="H783">
        <v>3476201</v>
      </c>
      <c r="J783" t="s">
        <v>1682</v>
      </c>
      <c r="K783">
        <v>3438096</v>
      </c>
      <c r="M783" t="s">
        <v>1682</v>
      </c>
      <c r="N783">
        <v>3369047</v>
      </c>
      <c r="P783" t="s">
        <v>1682</v>
      </c>
      <c r="Q783">
        <v>3298463</v>
      </c>
      <c r="S783" t="s">
        <v>1682</v>
      </c>
      <c r="T783">
        <v>3261300</v>
      </c>
      <c r="V783" t="s">
        <v>1682</v>
      </c>
      <c r="W783">
        <v>3258102</v>
      </c>
    </row>
    <row r="784" spans="1:23" x14ac:dyDescent="0.25">
      <c r="A784" s="400"/>
      <c r="B784">
        <v>0</v>
      </c>
      <c r="D784" t="s">
        <v>1683</v>
      </c>
      <c r="E784">
        <v>73487</v>
      </c>
      <c r="G784" t="s">
        <v>1683</v>
      </c>
      <c r="H784">
        <v>79361</v>
      </c>
      <c r="J784" t="s">
        <v>1683</v>
      </c>
      <c r="K784">
        <v>72867</v>
      </c>
      <c r="M784" t="s">
        <v>1683</v>
      </c>
      <c r="N784">
        <v>103430</v>
      </c>
      <c r="P784" t="s">
        <v>1683</v>
      </c>
      <c r="Q784">
        <v>104274</v>
      </c>
      <c r="S784" t="s">
        <v>1683</v>
      </c>
      <c r="T784">
        <v>70148</v>
      </c>
      <c r="V784" t="s">
        <v>1683</v>
      </c>
      <c r="W784">
        <v>35811</v>
      </c>
    </row>
    <row r="785" spans="1:23" x14ac:dyDescent="0.25">
      <c r="A785" s="400"/>
      <c r="B785">
        <v>0</v>
      </c>
      <c r="D785" t="s">
        <v>1684</v>
      </c>
      <c r="E785">
        <v>3593845</v>
      </c>
      <c r="G785" t="s">
        <v>1684</v>
      </c>
      <c r="H785">
        <v>3555562</v>
      </c>
      <c r="J785" t="s">
        <v>1684</v>
      </c>
      <c r="K785">
        <v>3510963</v>
      </c>
      <c r="M785" t="s">
        <v>1684</v>
      </c>
      <c r="N785">
        <v>3472477</v>
      </c>
      <c r="P785" t="s">
        <v>1684</v>
      </c>
      <c r="Q785">
        <v>3402737</v>
      </c>
      <c r="S785" t="s">
        <v>1684</v>
      </c>
      <c r="T785">
        <v>3331448</v>
      </c>
      <c r="V785" t="s">
        <v>1684</v>
      </c>
      <c r="W785">
        <v>3293913</v>
      </c>
    </row>
    <row r="786" spans="1:23" x14ac:dyDescent="0.25">
      <c r="A786" s="400" t="s">
        <v>1682</v>
      </c>
      <c r="B786">
        <v>3558262</v>
      </c>
      <c r="D786" t="s">
        <v>1685</v>
      </c>
      <c r="E786">
        <v>0.1</v>
      </c>
      <c r="G786" t="s">
        <v>1685</v>
      </c>
      <c r="H786">
        <v>0.1</v>
      </c>
      <c r="J786" t="s">
        <v>1685</v>
      </c>
      <c r="K786">
        <v>0.1</v>
      </c>
      <c r="M786" t="s">
        <v>1685</v>
      </c>
      <c r="N786">
        <v>0.1</v>
      </c>
      <c r="P786" t="s">
        <v>1685</v>
      </c>
      <c r="Q786">
        <v>0.1</v>
      </c>
      <c r="S786" t="s">
        <v>1685</v>
      </c>
      <c r="T786">
        <v>0.1</v>
      </c>
      <c r="V786" t="s">
        <v>1685</v>
      </c>
      <c r="W786">
        <v>0.1</v>
      </c>
    </row>
    <row r="787" spans="1:23" x14ac:dyDescent="0.25">
      <c r="A787" s="400" t="s">
        <v>1683</v>
      </c>
      <c r="B787">
        <v>168747</v>
      </c>
      <c r="D787" t="s">
        <v>1686</v>
      </c>
      <c r="E787">
        <v>359385</v>
      </c>
      <c r="G787" t="s">
        <v>1686</v>
      </c>
      <c r="H787">
        <v>355556</v>
      </c>
      <c r="J787" t="s">
        <v>1686</v>
      </c>
      <c r="K787">
        <v>351096</v>
      </c>
      <c r="M787" t="s">
        <v>1686</v>
      </c>
      <c r="N787">
        <v>347248</v>
      </c>
      <c r="P787" t="s">
        <v>1686</v>
      </c>
      <c r="Q787">
        <v>340274</v>
      </c>
      <c r="S787" t="s">
        <v>1686</v>
      </c>
      <c r="T787">
        <v>333145</v>
      </c>
      <c r="V787" t="s">
        <v>1686</v>
      </c>
      <c r="W787">
        <v>329391</v>
      </c>
    </row>
    <row r="788" spans="1:23" x14ac:dyDescent="0.25">
      <c r="A788" s="400" t="s">
        <v>1684</v>
      </c>
      <c r="B788">
        <v>3727009</v>
      </c>
      <c r="D788" t="s">
        <v>1687</v>
      </c>
      <c r="E788">
        <v>260993618</v>
      </c>
      <c r="G788" t="s">
        <v>1687</v>
      </c>
      <c r="H788">
        <v>270053615</v>
      </c>
      <c r="J788" t="s">
        <v>1687</v>
      </c>
      <c r="K788">
        <v>278155223</v>
      </c>
      <c r="M788" t="s">
        <v>1687</v>
      </c>
      <c r="N788">
        <v>286499880</v>
      </c>
      <c r="P788" t="s">
        <v>1687</v>
      </c>
      <c r="Q788">
        <v>295094876</v>
      </c>
      <c r="S788" t="s">
        <v>1687</v>
      </c>
      <c r="T788">
        <v>303947722</v>
      </c>
      <c r="V788" t="s">
        <v>1687</v>
      </c>
      <c r="W788">
        <v>313066154</v>
      </c>
    </row>
    <row r="789" spans="1:23" x14ac:dyDescent="0.25">
      <c r="A789" s="400" t="s">
        <v>1685</v>
      </c>
      <c r="B789">
        <v>0.1</v>
      </c>
      <c r="D789" t="s">
        <v>1688</v>
      </c>
      <c r="E789">
        <v>528.9</v>
      </c>
      <c r="G789" t="s">
        <v>1688</v>
      </c>
      <c r="H789">
        <v>516.6</v>
      </c>
      <c r="J789" t="s">
        <v>1688</v>
      </c>
      <c r="K789">
        <v>505.9</v>
      </c>
      <c r="M789" t="s">
        <v>1688</v>
      </c>
      <c r="N789">
        <v>490.9</v>
      </c>
      <c r="P789" t="s">
        <v>1688</v>
      </c>
      <c r="Q789">
        <v>475.9</v>
      </c>
      <c r="S789" t="s">
        <v>1688</v>
      </c>
      <c r="T789">
        <v>465.9</v>
      </c>
      <c r="V789" t="s">
        <v>1688</v>
      </c>
      <c r="W789">
        <v>460.9</v>
      </c>
    </row>
    <row r="790" spans="1:23" x14ac:dyDescent="0.25">
      <c r="A790" s="400" t="s">
        <v>1686</v>
      </c>
      <c r="B790">
        <v>372701</v>
      </c>
      <c r="D790" t="s">
        <v>1689</v>
      </c>
      <c r="E790">
        <v>493465</v>
      </c>
      <c r="G790" t="s">
        <v>1689</v>
      </c>
      <c r="H790">
        <v>522752</v>
      </c>
      <c r="J790" t="s">
        <v>1689</v>
      </c>
      <c r="K790">
        <v>549823</v>
      </c>
      <c r="M790" t="s">
        <v>1689</v>
      </c>
      <c r="N790">
        <v>583622</v>
      </c>
      <c r="P790" t="s">
        <v>1689</v>
      </c>
      <c r="Q790">
        <v>620077</v>
      </c>
      <c r="S790" t="s">
        <v>1689</v>
      </c>
      <c r="T790">
        <v>652388</v>
      </c>
      <c r="V790" t="s">
        <v>1689</v>
      </c>
      <c r="W790">
        <v>679250</v>
      </c>
    </row>
    <row r="791" spans="1:23" x14ac:dyDescent="0.25">
      <c r="A791" s="400" t="s">
        <v>1687</v>
      </c>
      <c r="B791">
        <v>252046215</v>
      </c>
      <c r="D791" t="s">
        <v>1690</v>
      </c>
      <c r="E791">
        <v>317587</v>
      </c>
      <c r="G791" t="s">
        <v>1690</v>
      </c>
      <c r="H791">
        <v>329208</v>
      </c>
      <c r="J791" t="s">
        <v>1690</v>
      </c>
      <c r="K791">
        <v>329208</v>
      </c>
      <c r="M791" t="s">
        <v>1690</v>
      </c>
      <c r="N791">
        <v>329208</v>
      </c>
      <c r="P791" t="s">
        <v>1690</v>
      </c>
      <c r="Q791">
        <v>329208</v>
      </c>
      <c r="S791" t="s">
        <v>1690</v>
      </c>
      <c r="T791">
        <v>329208</v>
      </c>
      <c r="V791" t="s">
        <v>1690</v>
      </c>
      <c r="W791">
        <v>329208</v>
      </c>
    </row>
    <row r="792" spans="1:23" x14ac:dyDescent="0.25">
      <c r="A792" s="400" t="s">
        <v>1688</v>
      </c>
      <c r="B792">
        <v>546.5</v>
      </c>
      <c r="D792" t="s">
        <v>1691</v>
      </c>
      <c r="E792">
        <v>493465</v>
      </c>
      <c r="G792" t="s">
        <v>1691</v>
      </c>
      <c r="H792">
        <v>522752</v>
      </c>
      <c r="J792" t="s">
        <v>1691</v>
      </c>
      <c r="K792">
        <v>549823</v>
      </c>
      <c r="M792" t="s">
        <v>1691</v>
      </c>
      <c r="N792">
        <v>583622</v>
      </c>
      <c r="P792" t="s">
        <v>1691</v>
      </c>
      <c r="Q792">
        <v>620077</v>
      </c>
      <c r="S792" t="s">
        <v>1691</v>
      </c>
      <c r="T792">
        <v>652388</v>
      </c>
      <c r="V792" t="s">
        <v>1691</v>
      </c>
      <c r="W792">
        <v>679250</v>
      </c>
    </row>
    <row r="793" spans="1:23" x14ac:dyDescent="0.25">
      <c r="A793" s="400" t="s">
        <v>1689</v>
      </c>
      <c r="B793">
        <v>461201</v>
      </c>
      <c r="D793" t="s">
        <v>1692</v>
      </c>
      <c r="E793">
        <v>0.25</v>
      </c>
      <c r="G793" t="s">
        <v>1692</v>
      </c>
      <c r="H793">
        <v>0.25</v>
      </c>
      <c r="J793" t="s">
        <v>1692</v>
      </c>
      <c r="K793">
        <v>0.25</v>
      </c>
      <c r="M793" t="s">
        <v>1692</v>
      </c>
      <c r="N793">
        <v>0.25</v>
      </c>
      <c r="P793" t="s">
        <v>1692</v>
      </c>
      <c r="Q793">
        <v>0.25</v>
      </c>
      <c r="S793" t="s">
        <v>1692</v>
      </c>
      <c r="T793">
        <v>0.25</v>
      </c>
      <c r="V793" t="s">
        <v>1692</v>
      </c>
      <c r="W793">
        <v>0.25</v>
      </c>
    </row>
    <row r="794" spans="1:23" x14ac:dyDescent="0.25">
      <c r="A794" s="400" t="s">
        <v>1690</v>
      </c>
      <c r="B794">
        <v>305878</v>
      </c>
      <c r="D794" t="s">
        <v>1693</v>
      </c>
      <c r="E794">
        <v>0.16089999999999999</v>
      </c>
      <c r="G794" t="s">
        <v>1693</v>
      </c>
      <c r="H794">
        <v>0.15740000000000001</v>
      </c>
      <c r="J794" t="s">
        <v>1693</v>
      </c>
      <c r="K794">
        <v>0.1497</v>
      </c>
      <c r="M794" t="s">
        <v>1693</v>
      </c>
      <c r="N794">
        <v>0.14099999999999999</v>
      </c>
      <c r="P794" t="s">
        <v>1693</v>
      </c>
      <c r="Q794">
        <v>0.13270000000000001</v>
      </c>
      <c r="S794" t="s">
        <v>1693</v>
      </c>
      <c r="T794">
        <v>0.12620000000000001</v>
      </c>
      <c r="V794" t="s">
        <v>1693</v>
      </c>
      <c r="W794">
        <v>0.1212</v>
      </c>
    </row>
    <row r="795" spans="1:23" x14ac:dyDescent="0.25">
      <c r="A795" s="400" t="s">
        <v>1691</v>
      </c>
      <c r="B795">
        <v>461201</v>
      </c>
      <c r="D795" t="s">
        <v>1694</v>
      </c>
      <c r="E795">
        <v>359385</v>
      </c>
      <c r="G795" t="s">
        <v>1694</v>
      </c>
      <c r="H795">
        <v>355556</v>
      </c>
      <c r="J795" t="s">
        <v>1694</v>
      </c>
      <c r="K795">
        <v>351096</v>
      </c>
      <c r="M795" t="s">
        <v>1694</v>
      </c>
      <c r="N795">
        <v>347248</v>
      </c>
      <c r="P795" t="s">
        <v>1694</v>
      </c>
      <c r="Q795">
        <v>340274</v>
      </c>
      <c r="S795" t="s">
        <v>1694</v>
      </c>
      <c r="T795">
        <v>333145</v>
      </c>
      <c r="V795" t="s">
        <v>1694</v>
      </c>
      <c r="W795">
        <v>329391</v>
      </c>
    </row>
    <row r="796" spans="1:23" x14ac:dyDescent="0.25">
      <c r="A796" s="400" t="s">
        <v>1692</v>
      </c>
      <c r="B796">
        <v>0.25</v>
      </c>
      <c r="D796" t="s">
        <v>1695</v>
      </c>
      <c r="E796">
        <v>57825</v>
      </c>
      <c r="G796" t="s">
        <v>1695</v>
      </c>
      <c r="H796">
        <v>55965</v>
      </c>
      <c r="J796" t="s">
        <v>1695</v>
      </c>
      <c r="K796">
        <v>52559</v>
      </c>
      <c r="M796" t="s">
        <v>1695</v>
      </c>
      <c r="N796">
        <v>48962</v>
      </c>
      <c r="P796" t="s">
        <v>1695</v>
      </c>
      <c r="Q796">
        <v>45154</v>
      </c>
      <c r="S796" t="s">
        <v>1695</v>
      </c>
      <c r="T796">
        <v>42043</v>
      </c>
      <c r="V796" t="s">
        <v>1695</v>
      </c>
      <c r="W796">
        <v>39922</v>
      </c>
    </row>
    <row r="797" spans="1:23" x14ac:dyDescent="0.25">
      <c r="A797" s="400" t="s">
        <v>1693</v>
      </c>
      <c r="B797">
        <v>0.1658</v>
      </c>
      <c r="D797" t="s">
        <v>1696</v>
      </c>
      <c r="E797">
        <v>0.01</v>
      </c>
      <c r="G797" t="s">
        <v>1696</v>
      </c>
      <c r="H797">
        <v>0.09</v>
      </c>
      <c r="J797" t="s">
        <v>1696</v>
      </c>
      <c r="K797">
        <v>0.09</v>
      </c>
      <c r="M797" t="s">
        <v>1696</v>
      </c>
      <c r="N797">
        <v>0.09</v>
      </c>
      <c r="P797" t="s">
        <v>1696</v>
      </c>
      <c r="Q797">
        <v>0.09</v>
      </c>
      <c r="S797" t="s">
        <v>1696</v>
      </c>
      <c r="T797">
        <v>0.09</v>
      </c>
      <c r="V797" t="s">
        <v>1696</v>
      </c>
      <c r="W797">
        <v>0.09</v>
      </c>
    </row>
    <row r="798" spans="1:23" x14ac:dyDescent="0.25">
      <c r="A798" s="400" t="s">
        <v>1694</v>
      </c>
      <c r="B798">
        <v>372701</v>
      </c>
      <c r="D798" t="s">
        <v>1697</v>
      </c>
      <c r="E798">
        <v>2662620</v>
      </c>
      <c r="G798" t="s">
        <v>1697</v>
      </c>
      <c r="H798">
        <v>2754289</v>
      </c>
      <c r="J798" t="s">
        <v>1697</v>
      </c>
      <c r="K798">
        <v>2781832</v>
      </c>
      <c r="M798" t="s">
        <v>1697</v>
      </c>
      <c r="N798">
        <v>2809650</v>
      </c>
      <c r="P798" t="s">
        <v>1697</v>
      </c>
      <c r="Q798">
        <v>2837747</v>
      </c>
      <c r="S798" t="s">
        <v>1697</v>
      </c>
      <c r="T798">
        <v>2866124</v>
      </c>
      <c r="V798" t="s">
        <v>1697</v>
      </c>
      <c r="W798">
        <v>2894785</v>
      </c>
    </row>
    <row r="799" spans="1:23" x14ac:dyDescent="0.25">
      <c r="A799" s="400" t="s">
        <v>1695</v>
      </c>
      <c r="B799">
        <v>61794</v>
      </c>
      <c r="D799" t="s">
        <v>1698</v>
      </c>
      <c r="E799">
        <v>26626</v>
      </c>
      <c r="G799" t="s">
        <v>1698</v>
      </c>
      <c r="H799">
        <v>247886</v>
      </c>
      <c r="J799" t="s">
        <v>1698</v>
      </c>
      <c r="K799">
        <v>250365</v>
      </c>
      <c r="M799" t="s">
        <v>1698</v>
      </c>
      <c r="N799">
        <v>252869</v>
      </c>
      <c r="P799" t="s">
        <v>1698</v>
      </c>
      <c r="Q799">
        <v>255397</v>
      </c>
      <c r="S799" t="s">
        <v>1698</v>
      </c>
      <c r="T799">
        <v>257951</v>
      </c>
      <c r="V799" t="s">
        <v>1698</v>
      </c>
      <c r="W799">
        <v>260531</v>
      </c>
    </row>
    <row r="800" spans="1:23" x14ac:dyDescent="0.25">
      <c r="A800" s="400" t="s">
        <v>1696</v>
      </c>
      <c r="B800">
        <v>0.01</v>
      </c>
      <c r="D800" t="s">
        <v>1699</v>
      </c>
      <c r="E800">
        <v>359385</v>
      </c>
      <c r="G800" t="s">
        <v>1699</v>
      </c>
      <c r="H800">
        <v>355556</v>
      </c>
      <c r="J800" t="s">
        <v>1699</v>
      </c>
      <c r="K800">
        <v>351096</v>
      </c>
      <c r="M800" t="s">
        <v>1699</v>
      </c>
      <c r="N800">
        <v>347248</v>
      </c>
      <c r="P800" t="s">
        <v>1699</v>
      </c>
      <c r="Q800">
        <v>340274</v>
      </c>
      <c r="S800" t="s">
        <v>1699</v>
      </c>
      <c r="T800">
        <v>333145</v>
      </c>
      <c r="V800" t="s">
        <v>1699</v>
      </c>
      <c r="W800">
        <v>329391</v>
      </c>
    </row>
    <row r="801" spans="1:23" x14ac:dyDescent="0.25">
      <c r="A801" s="400" t="s">
        <v>1697</v>
      </c>
      <c r="B801">
        <v>2667587</v>
      </c>
      <c r="D801" t="s">
        <v>1700</v>
      </c>
      <c r="E801">
        <v>57825</v>
      </c>
      <c r="G801" t="s">
        <v>1700</v>
      </c>
      <c r="H801">
        <v>55965</v>
      </c>
      <c r="J801" t="s">
        <v>1700</v>
      </c>
      <c r="K801">
        <v>52559</v>
      </c>
      <c r="M801" t="s">
        <v>1700</v>
      </c>
      <c r="N801">
        <v>48962</v>
      </c>
      <c r="P801" t="s">
        <v>1700</v>
      </c>
      <c r="Q801">
        <v>45154</v>
      </c>
      <c r="S801" t="s">
        <v>1700</v>
      </c>
      <c r="T801">
        <v>42043</v>
      </c>
      <c r="V801" t="s">
        <v>1700</v>
      </c>
      <c r="W801">
        <v>39922</v>
      </c>
    </row>
    <row r="802" spans="1:23" x14ac:dyDescent="0.25">
      <c r="A802" s="400" t="s">
        <v>1698</v>
      </c>
      <c r="B802">
        <v>26676</v>
      </c>
      <c r="D802" t="s">
        <v>1701</v>
      </c>
      <c r="E802">
        <v>26626</v>
      </c>
      <c r="G802" t="s">
        <v>1701</v>
      </c>
      <c r="H802">
        <v>247886</v>
      </c>
      <c r="J802" t="s">
        <v>1701</v>
      </c>
      <c r="K802">
        <v>250365</v>
      </c>
      <c r="M802" t="s">
        <v>1701</v>
      </c>
      <c r="N802">
        <v>252869</v>
      </c>
      <c r="P802" t="s">
        <v>1701</v>
      </c>
      <c r="Q802">
        <v>255397</v>
      </c>
      <c r="S802" t="s">
        <v>1701</v>
      </c>
      <c r="T802">
        <v>257951</v>
      </c>
      <c r="V802" t="s">
        <v>1701</v>
      </c>
      <c r="W802">
        <v>260531</v>
      </c>
    </row>
    <row r="803" spans="1:23" x14ac:dyDescent="0.25">
      <c r="A803" s="400" t="s">
        <v>1699</v>
      </c>
      <c r="B803">
        <v>372701</v>
      </c>
      <c r="D803" t="s">
        <v>1702</v>
      </c>
      <c r="E803">
        <v>274934</v>
      </c>
      <c r="G803" t="s">
        <v>1702</v>
      </c>
      <c r="H803">
        <v>51705</v>
      </c>
      <c r="J803" t="s">
        <v>1702</v>
      </c>
      <c r="K803">
        <v>48172</v>
      </c>
      <c r="M803" t="s">
        <v>1702</v>
      </c>
      <c r="N803">
        <v>45417</v>
      </c>
      <c r="P803" t="s">
        <v>1702</v>
      </c>
      <c r="Q803">
        <v>39723</v>
      </c>
      <c r="S803" t="s">
        <v>1702</v>
      </c>
      <c r="T803">
        <v>33151</v>
      </c>
      <c r="V803" t="s">
        <v>1702</v>
      </c>
      <c r="W803">
        <v>28938</v>
      </c>
    </row>
    <row r="804" spans="1:23" x14ac:dyDescent="0.25">
      <c r="A804" s="400" t="s">
        <v>1700</v>
      </c>
      <c r="B804">
        <v>61794</v>
      </c>
      <c r="D804" t="s">
        <v>1703</v>
      </c>
      <c r="E804">
        <v>57825</v>
      </c>
      <c r="G804" t="s">
        <v>1703</v>
      </c>
      <c r="H804">
        <v>55965</v>
      </c>
      <c r="J804" t="s">
        <v>1703</v>
      </c>
      <c r="K804">
        <v>52559</v>
      </c>
      <c r="M804" t="s">
        <v>1703</v>
      </c>
      <c r="N804">
        <v>48962</v>
      </c>
      <c r="P804" t="s">
        <v>1703</v>
      </c>
      <c r="Q804">
        <v>45154</v>
      </c>
      <c r="S804" t="s">
        <v>1703</v>
      </c>
      <c r="T804">
        <v>42043</v>
      </c>
      <c r="V804" t="s">
        <v>1703</v>
      </c>
      <c r="W804">
        <v>39922</v>
      </c>
    </row>
    <row r="805" spans="1:23" x14ac:dyDescent="0.25">
      <c r="A805" s="400" t="s">
        <v>1701</v>
      </c>
      <c r="B805">
        <v>26676</v>
      </c>
      <c r="D805" t="s">
        <v>1704</v>
      </c>
      <c r="E805">
        <v>0</v>
      </c>
      <c r="G805" t="s">
        <v>1704</v>
      </c>
      <c r="H805">
        <v>0</v>
      </c>
      <c r="J805" t="s">
        <v>1704</v>
      </c>
      <c r="K805">
        <v>0</v>
      </c>
      <c r="M805" t="s">
        <v>1704</v>
      </c>
      <c r="N805">
        <v>0</v>
      </c>
      <c r="P805" t="s">
        <v>1704</v>
      </c>
      <c r="Q805">
        <v>0</v>
      </c>
      <c r="S805" t="s">
        <v>1704</v>
      </c>
      <c r="T805">
        <v>0</v>
      </c>
      <c r="V805" t="s">
        <v>1704</v>
      </c>
      <c r="W805">
        <v>0</v>
      </c>
    </row>
    <row r="806" spans="1:23" x14ac:dyDescent="0.25">
      <c r="A806" s="400" t="s">
        <v>1702</v>
      </c>
      <c r="B806">
        <v>284231</v>
      </c>
      <c r="D806" t="s">
        <v>1705</v>
      </c>
      <c r="E806">
        <v>0</v>
      </c>
      <c r="G806" t="s">
        <v>1705</v>
      </c>
      <c r="H806">
        <v>0</v>
      </c>
      <c r="J806" t="s">
        <v>1705</v>
      </c>
      <c r="K806">
        <v>0</v>
      </c>
      <c r="M806" t="s">
        <v>1705</v>
      </c>
      <c r="N806">
        <v>0</v>
      </c>
      <c r="P806" t="s">
        <v>1705</v>
      </c>
      <c r="Q806">
        <v>0</v>
      </c>
      <c r="S806" t="s">
        <v>1705</v>
      </c>
      <c r="T806">
        <v>0</v>
      </c>
      <c r="V806" t="s">
        <v>1705</v>
      </c>
      <c r="W806">
        <v>0</v>
      </c>
    </row>
    <row r="807" spans="1:23" x14ac:dyDescent="0.25">
      <c r="A807" s="400" t="s">
        <v>1703</v>
      </c>
      <c r="B807">
        <v>61794</v>
      </c>
      <c r="D807" t="s">
        <v>1706</v>
      </c>
      <c r="E807">
        <v>26626</v>
      </c>
      <c r="G807" t="s">
        <v>1706</v>
      </c>
      <c r="H807">
        <v>247886</v>
      </c>
      <c r="J807" t="s">
        <v>1706</v>
      </c>
      <c r="K807">
        <v>250365</v>
      </c>
      <c r="M807" t="s">
        <v>1706</v>
      </c>
      <c r="N807">
        <v>252869</v>
      </c>
      <c r="P807" t="s">
        <v>1706</v>
      </c>
      <c r="Q807">
        <v>255397</v>
      </c>
      <c r="S807" t="s">
        <v>1706</v>
      </c>
      <c r="T807">
        <v>257951</v>
      </c>
      <c r="V807" t="s">
        <v>1706</v>
      </c>
      <c r="W807">
        <v>260531</v>
      </c>
    </row>
    <row r="808" spans="1:23" x14ac:dyDescent="0.25">
      <c r="A808" s="400" t="s">
        <v>1704</v>
      </c>
      <c r="B808">
        <v>0</v>
      </c>
      <c r="D808" t="s">
        <v>1707</v>
      </c>
      <c r="E808">
        <v>274934</v>
      </c>
      <c r="G808" t="s">
        <v>1707</v>
      </c>
      <c r="H808">
        <v>51705</v>
      </c>
      <c r="J808" t="s">
        <v>1707</v>
      </c>
      <c r="K808">
        <v>48172</v>
      </c>
      <c r="M808" t="s">
        <v>1707</v>
      </c>
      <c r="N808">
        <v>45417</v>
      </c>
      <c r="P808" t="s">
        <v>1707</v>
      </c>
      <c r="Q808">
        <v>39723</v>
      </c>
      <c r="S808" t="s">
        <v>1707</v>
      </c>
      <c r="T808">
        <v>33151</v>
      </c>
      <c r="V808" t="s">
        <v>1707</v>
      </c>
      <c r="W808">
        <v>28938</v>
      </c>
    </row>
    <row r="809" spans="1:23" x14ac:dyDescent="0.25">
      <c r="A809" s="400" t="s">
        <v>1705</v>
      </c>
      <c r="B809">
        <v>0</v>
      </c>
      <c r="D809" t="s">
        <v>1708</v>
      </c>
      <c r="E809">
        <v>301560</v>
      </c>
      <c r="G809" t="s">
        <v>1708</v>
      </c>
      <c r="H809">
        <v>299591</v>
      </c>
      <c r="J809" t="s">
        <v>1708</v>
      </c>
      <c r="K809">
        <v>298537</v>
      </c>
      <c r="M809" t="s">
        <v>1708</v>
      </c>
      <c r="N809">
        <v>298286</v>
      </c>
      <c r="P809" t="s">
        <v>1708</v>
      </c>
      <c r="Q809">
        <v>295120</v>
      </c>
      <c r="S809" t="s">
        <v>1708</v>
      </c>
      <c r="T809">
        <v>291102</v>
      </c>
      <c r="V809" t="s">
        <v>1708</v>
      </c>
      <c r="W809">
        <v>289469</v>
      </c>
    </row>
    <row r="810" spans="1:23" x14ac:dyDescent="0.25">
      <c r="A810" s="400" t="s">
        <v>1706</v>
      </c>
      <c r="B810">
        <v>26676</v>
      </c>
      <c r="E810">
        <v>0</v>
      </c>
      <c r="H810">
        <v>0</v>
      </c>
      <c r="K810">
        <v>0</v>
      </c>
      <c r="N810">
        <v>0</v>
      </c>
      <c r="Q810">
        <v>0</v>
      </c>
      <c r="T810">
        <v>0</v>
      </c>
      <c r="W810">
        <v>0</v>
      </c>
    </row>
    <row r="811" spans="1:23" x14ac:dyDescent="0.25">
      <c r="A811" s="400" t="s">
        <v>1707</v>
      </c>
      <c r="B811">
        <v>284231</v>
      </c>
      <c r="E811">
        <v>0</v>
      </c>
      <c r="H811">
        <v>0</v>
      </c>
      <c r="K811">
        <v>0</v>
      </c>
      <c r="N811">
        <v>0</v>
      </c>
      <c r="Q811">
        <v>0</v>
      </c>
      <c r="T811">
        <v>0</v>
      </c>
      <c r="W811">
        <v>0</v>
      </c>
    </row>
    <row r="812" spans="1:23" x14ac:dyDescent="0.25">
      <c r="A812" s="400" t="s">
        <v>1708</v>
      </c>
      <c r="B812">
        <v>310907</v>
      </c>
      <c r="D812" t="s">
        <v>1709</v>
      </c>
      <c r="E812">
        <v>3593845</v>
      </c>
      <c r="G812" t="s">
        <v>1709</v>
      </c>
      <c r="H812">
        <v>3555562</v>
      </c>
      <c r="J812" t="s">
        <v>1709</v>
      </c>
      <c r="K812">
        <v>3510963</v>
      </c>
      <c r="M812" t="s">
        <v>1709</v>
      </c>
      <c r="N812">
        <v>3472477</v>
      </c>
      <c r="P812" t="s">
        <v>1709</v>
      </c>
      <c r="Q812">
        <v>3402737</v>
      </c>
      <c r="S812" t="s">
        <v>1709</v>
      </c>
      <c r="T812">
        <v>3331448</v>
      </c>
      <c r="V812" t="s">
        <v>1709</v>
      </c>
      <c r="W812">
        <v>3293913</v>
      </c>
    </row>
    <row r="813" spans="1:23" x14ac:dyDescent="0.25">
      <c r="A813" s="400"/>
      <c r="B813">
        <v>0</v>
      </c>
      <c r="D813" t="s">
        <v>1710</v>
      </c>
      <c r="E813">
        <v>0</v>
      </c>
      <c r="G813" t="s">
        <v>1710</v>
      </c>
      <c r="H813">
        <v>0</v>
      </c>
      <c r="J813" t="s">
        <v>1710</v>
      </c>
      <c r="K813">
        <v>0</v>
      </c>
      <c r="M813" t="s">
        <v>1710</v>
      </c>
      <c r="N813">
        <v>0</v>
      </c>
      <c r="P813" t="s">
        <v>1710</v>
      </c>
      <c r="Q813">
        <v>0</v>
      </c>
      <c r="S813" t="s">
        <v>1710</v>
      </c>
      <c r="T813">
        <v>0</v>
      </c>
      <c r="V813" t="s">
        <v>1710</v>
      </c>
      <c r="W813">
        <v>0</v>
      </c>
    </row>
    <row r="814" spans="1:23" x14ac:dyDescent="0.25">
      <c r="A814" s="400"/>
      <c r="B814">
        <v>0</v>
      </c>
      <c r="D814" t="s">
        <v>1711</v>
      </c>
      <c r="E814">
        <v>0</v>
      </c>
      <c r="G814" t="s">
        <v>1711</v>
      </c>
      <c r="H814">
        <v>0</v>
      </c>
      <c r="J814" t="s">
        <v>1711</v>
      </c>
      <c r="K814">
        <v>0</v>
      </c>
      <c r="M814" t="s">
        <v>1711</v>
      </c>
      <c r="N814">
        <v>0</v>
      </c>
      <c r="P814" t="s">
        <v>1711</v>
      </c>
      <c r="Q814">
        <v>0</v>
      </c>
      <c r="S814" t="s">
        <v>1711</v>
      </c>
      <c r="T814">
        <v>0</v>
      </c>
      <c r="V814" t="s">
        <v>1711</v>
      </c>
      <c r="W814">
        <v>0</v>
      </c>
    </row>
    <row r="815" spans="1:23" x14ac:dyDescent="0.25">
      <c r="A815" s="400" t="s">
        <v>1709</v>
      </c>
      <c r="B815">
        <v>3727009</v>
      </c>
      <c r="D815" t="s">
        <v>1712</v>
      </c>
      <c r="E815">
        <v>0</v>
      </c>
      <c r="G815" t="s">
        <v>1712</v>
      </c>
      <c r="H815">
        <v>0</v>
      </c>
      <c r="J815" t="s">
        <v>1712</v>
      </c>
      <c r="K815">
        <v>0</v>
      </c>
      <c r="M815" t="s">
        <v>1712</v>
      </c>
      <c r="N815">
        <v>0</v>
      </c>
      <c r="P815" t="s">
        <v>1712</v>
      </c>
      <c r="Q815">
        <v>0</v>
      </c>
      <c r="S815" t="s">
        <v>1712</v>
      </c>
      <c r="T815">
        <v>0</v>
      </c>
      <c r="V815" t="s">
        <v>1712</v>
      </c>
      <c r="W815">
        <v>0</v>
      </c>
    </row>
    <row r="816" spans="1:23" x14ac:dyDescent="0.25">
      <c r="A816" s="400" t="s">
        <v>1710</v>
      </c>
      <c r="B816">
        <v>0</v>
      </c>
      <c r="D816" t="s">
        <v>1713</v>
      </c>
      <c r="E816">
        <v>2662620</v>
      </c>
      <c r="G816" t="s">
        <v>1713</v>
      </c>
      <c r="H816">
        <v>2754289</v>
      </c>
      <c r="J816" t="s">
        <v>1713</v>
      </c>
      <c r="K816">
        <v>2781832</v>
      </c>
      <c r="M816" t="s">
        <v>1713</v>
      </c>
      <c r="N816">
        <v>2809650</v>
      </c>
      <c r="P816" t="s">
        <v>1713</v>
      </c>
      <c r="Q816">
        <v>2837747</v>
      </c>
      <c r="S816" t="s">
        <v>1713</v>
      </c>
      <c r="T816">
        <v>2866124</v>
      </c>
      <c r="V816" t="s">
        <v>1713</v>
      </c>
      <c r="W816">
        <v>2894785</v>
      </c>
    </row>
    <row r="817" spans="1:23" x14ac:dyDescent="0.25">
      <c r="A817" s="400" t="s">
        <v>1711</v>
      </c>
      <c r="B817">
        <v>0</v>
      </c>
      <c r="D817" t="s">
        <v>1714</v>
      </c>
      <c r="E817">
        <v>0</v>
      </c>
      <c r="G817" t="s">
        <v>1714</v>
      </c>
      <c r="H817">
        <v>0</v>
      </c>
      <c r="J817" t="s">
        <v>1714</v>
      </c>
      <c r="K817">
        <v>0</v>
      </c>
      <c r="M817" t="s">
        <v>1714</v>
      </c>
      <c r="N817">
        <v>0</v>
      </c>
      <c r="P817" t="s">
        <v>1714</v>
      </c>
      <c r="Q817">
        <v>0</v>
      </c>
      <c r="S817" t="s">
        <v>1714</v>
      </c>
      <c r="T817">
        <v>0</v>
      </c>
      <c r="V817" t="s">
        <v>1714</v>
      </c>
      <c r="W817">
        <v>0</v>
      </c>
    </row>
    <row r="818" spans="1:23" x14ac:dyDescent="0.25">
      <c r="A818" s="400" t="s">
        <v>1712</v>
      </c>
      <c r="B818">
        <v>0</v>
      </c>
      <c r="D818" t="s">
        <v>1715</v>
      </c>
      <c r="E818">
        <v>0</v>
      </c>
      <c r="G818" t="s">
        <v>1715</v>
      </c>
      <c r="H818">
        <v>0</v>
      </c>
      <c r="J818" t="s">
        <v>1715</v>
      </c>
      <c r="K818">
        <v>0</v>
      </c>
      <c r="M818" t="s">
        <v>1715</v>
      </c>
      <c r="N818">
        <v>0</v>
      </c>
      <c r="P818" t="s">
        <v>1715</v>
      </c>
      <c r="Q818">
        <v>0</v>
      </c>
      <c r="S818" t="s">
        <v>1715</v>
      </c>
      <c r="T818">
        <v>0</v>
      </c>
      <c r="V818" t="s">
        <v>1715</v>
      </c>
      <c r="W818">
        <v>0</v>
      </c>
    </row>
    <row r="819" spans="1:23" x14ac:dyDescent="0.25">
      <c r="A819" s="400" t="s">
        <v>1713</v>
      </c>
      <c r="B819">
        <v>2667587</v>
      </c>
      <c r="D819" t="s">
        <v>1716</v>
      </c>
      <c r="E819">
        <v>0</v>
      </c>
      <c r="G819" t="s">
        <v>1716</v>
      </c>
      <c r="H819">
        <v>0</v>
      </c>
      <c r="J819" t="s">
        <v>1716</v>
      </c>
      <c r="K819">
        <v>0</v>
      </c>
      <c r="M819" t="s">
        <v>1716</v>
      </c>
      <c r="N819">
        <v>0</v>
      </c>
      <c r="P819" t="s">
        <v>1716</v>
      </c>
      <c r="Q819">
        <v>0</v>
      </c>
      <c r="S819" t="s">
        <v>1716</v>
      </c>
      <c r="T819">
        <v>0</v>
      </c>
      <c r="V819" t="s">
        <v>1716</v>
      </c>
      <c r="W819">
        <v>0</v>
      </c>
    </row>
    <row r="820" spans="1:23" x14ac:dyDescent="0.25">
      <c r="A820" s="400" t="s">
        <v>1714</v>
      </c>
      <c r="B820">
        <v>0</v>
      </c>
      <c r="D820" t="s">
        <v>1717</v>
      </c>
      <c r="E820">
        <v>0</v>
      </c>
      <c r="G820" t="s">
        <v>1717</v>
      </c>
      <c r="H820">
        <v>0</v>
      </c>
      <c r="J820" t="s">
        <v>1717</v>
      </c>
      <c r="K820">
        <v>0</v>
      </c>
      <c r="M820" t="s">
        <v>1717</v>
      </c>
      <c r="N820">
        <v>0</v>
      </c>
      <c r="P820" t="s">
        <v>1717</v>
      </c>
      <c r="Q820">
        <v>0</v>
      </c>
      <c r="S820" t="s">
        <v>1717</v>
      </c>
      <c r="T820">
        <v>0</v>
      </c>
      <c r="V820" t="s">
        <v>1717</v>
      </c>
      <c r="W820">
        <v>0</v>
      </c>
    </row>
    <row r="821" spans="1:23" x14ac:dyDescent="0.25">
      <c r="A821" s="400" t="s">
        <v>1715</v>
      </c>
      <c r="B821">
        <v>0</v>
      </c>
      <c r="E821">
        <v>0</v>
      </c>
      <c r="H821">
        <v>0</v>
      </c>
      <c r="K821">
        <v>0</v>
      </c>
      <c r="N821">
        <v>0</v>
      </c>
      <c r="Q821">
        <v>0</v>
      </c>
      <c r="T821">
        <v>0</v>
      </c>
      <c r="W821">
        <v>0</v>
      </c>
    </row>
    <row r="822" spans="1:23" x14ac:dyDescent="0.25">
      <c r="A822" s="400" t="s">
        <v>1716</v>
      </c>
      <c r="B822">
        <v>0</v>
      </c>
      <c r="E822">
        <v>0</v>
      </c>
      <c r="H822">
        <v>0</v>
      </c>
      <c r="K822">
        <v>0</v>
      </c>
      <c r="N822">
        <v>0</v>
      </c>
      <c r="Q822">
        <v>0</v>
      </c>
      <c r="T822">
        <v>0</v>
      </c>
      <c r="W822">
        <v>0</v>
      </c>
    </row>
    <row r="823" spans="1:23" x14ac:dyDescent="0.25">
      <c r="A823" s="400" t="s">
        <v>1717</v>
      </c>
      <c r="B823">
        <v>0</v>
      </c>
      <c r="E823">
        <v>0</v>
      </c>
      <c r="H823">
        <v>0</v>
      </c>
      <c r="K823">
        <v>0</v>
      </c>
      <c r="N823">
        <v>0</v>
      </c>
      <c r="Q823">
        <v>0</v>
      </c>
      <c r="T823">
        <v>0</v>
      </c>
      <c r="W823">
        <v>0</v>
      </c>
    </row>
    <row r="824" spans="1:23" x14ac:dyDescent="0.25">
      <c r="A824" s="400"/>
      <c r="B824">
        <v>0</v>
      </c>
      <c r="D824" t="s">
        <v>1718</v>
      </c>
      <c r="E824">
        <v>36331</v>
      </c>
      <c r="G824" t="s">
        <v>1718</v>
      </c>
      <c r="H824">
        <v>31426</v>
      </c>
      <c r="J824" t="s">
        <v>1718</v>
      </c>
      <c r="K824">
        <v>31426</v>
      </c>
      <c r="M824" t="s">
        <v>1718</v>
      </c>
      <c r="N824">
        <v>31426</v>
      </c>
      <c r="P824" t="s">
        <v>1718</v>
      </c>
      <c r="Q824">
        <v>31426</v>
      </c>
      <c r="S824" t="s">
        <v>1718</v>
      </c>
      <c r="T824">
        <v>31426</v>
      </c>
      <c r="V824" t="s">
        <v>1718</v>
      </c>
      <c r="W824">
        <v>31426</v>
      </c>
    </row>
    <row r="825" spans="1:23" x14ac:dyDescent="0.25">
      <c r="A825" s="400"/>
      <c r="B825">
        <v>0</v>
      </c>
      <c r="D825" t="s">
        <v>1719</v>
      </c>
      <c r="E825">
        <v>36755</v>
      </c>
      <c r="G825" t="s">
        <v>1719</v>
      </c>
      <c r="H825">
        <v>32254</v>
      </c>
      <c r="J825" t="s">
        <v>1719</v>
      </c>
      <c r="K825">
        <v>32254</v>
      </c>
      <c r="M825" t="s">
        <v>1719</v>
      </c>
      <c r="N825">
        <v>32254</v>
      </c>
      <c r="P825" t="s">
        <v>1719</v>
      </c>
      <c r="Q825">
        <v>32254</v>
      </c>
      <c r="S825" t="s">
        <v>1719</v>
      </c>
      <c r="T825">
        <v>32254</v>
      </c>
      <c r="V825" t="s">
        <v>1719</v>
      </c>
      <c r="W825">
        <v>32254</v>
      </c>
    </row>
    <row r="826" spans="1:23" x14ac:dyDescent="0.25">
      <c r="A826" s="400"/>
      <c r="B826">
        <v>0</v>
      </c>
      <c r="D826" t="s">
        <v>1720</v>
      </c>
      <c r="E826">
        <v>-424</v>
      </c>
      <c r="G826" t="s">
        <v>1720</v>
      </c>
      <c r="H826">
        <v>-828</v>
      </c>
      <c r="J826" t="s">
        <v>1720</v>
      </c>
      <c r="K826">
        <v>-828</v>
      </c>
      <c r="M826" t="s">
        <v>1720</v>
      </c>
      <c r="N826">
        <v>-828</v>
      </c>
      <c r="P826" t="s">
        <v>1720</v>
      </c>
      <c r="Q826">
        <v>-828</v>
      </c>
      <c r="S826" t="s">
        <v>1720</v>
      </c>
      <c r="T826">
        <v>-828</v>
      </c>
      <c r="V826" t="s">
        <v>1720</v>
      </c>
      <c r="W826">
        <v>-828</v>
      </c>
    </row>
    <row r="827" spans="1:23" x14ac:dyDescent="0.25">
      <c r="A827" s="400" t="s">
        <v>1718</v>
      </c>
      <c r="B827">
        <v>32420</v>
      </c>
      <c r="D827" t="s">
        <v>1721</v>
      </c>
      <c r="E827">
        <v>807307</v>
      </c>
      <c r="G827" t="s">
        <v>1721</v>
      </c>
      <c r="H827">
        <v>784432</v>
      </c>
      <c r="J827" t="s">
        <v>1721</v>
      </c>
      <c r="K827">
        <v>819405</v>
      </c>
      <c r="M827" t="s">
        <v>1721</v>
      </c>
      <c r="N827">
        <v>849249</v>
      </c>
      <c r="P827" t="s">
        <v>1721</v>
      </c>
      <c r="Q827">
        <v>849115</v>
      </c>
      <c r="S827" t="s">
        <v>1721</v>
      </c>
      <c r="T827">
        <v>812451</v>
      </c>
      <c r="V827" t="s">
        <v>1721</v>
      </c>
      <c r="W827">
        <v>779067</v>
      </c>
    </row>
    <row r="828" spans="1:23" x14ac:dyDescent="0.25">
      <c r="A828" s="400" t="s">
        <v>1719</v>
      </c>
      <c r="B828">
        <v>32412</v>
      </c>
      <c r="D828" t="s">
        <v>1722</v>
      </c>
      <c r="E828">
        <v>-424</v>
      </c>
      <c r="G828" t="s">
        <v>1722</v>
      </c>
      <c r="H828">
        <v>-828</v>
      </c>
      <c r="J828" t="s">
        <v>1722</v>
      </c>
      <c r="K828">
        <v>-828</v>
      </c>
      <c r="M828" t="s">
        <v>1722</v>
      </c>
      <c r="N828">
        <v>-828</v>
      </c>
      <c r="P828" t="s">
        <v>1722</v>
      </c>
      <c r="Q828">
        <v>-828</v>
      </c>
      <c r="S828" t="s">
        <v>1722</v>
      </c>
      <c r="T828">
        <v>-828</v>
      </c>
      <c r="V828" t="s">
        <v>1722</v>
      </c>
      <c r="W828">
        <v>-828</v>
      </c>
    </row>
    <row r="829" spans="1:23" x14ac:dyDescent="0.25">
      <c r="A829" s="400" t="s">
        <v>1720</v>
      </c>
      <c r="B829">
        <v>8</v>
      </c>
      <c r="D829" t="s">
        <v>1723</v>
      </c>
      <c r="E829">
        <v>807731</v>
      </c>
      <c r="G829" t="s">
        <v>1723</v>
      </c>
      <c r="H829">
        <v>785260</v>
      </c>
      <c r="J829" t="s">
        <v>1723</v>
      </c>
      <c r="K829">
        <v>820233</v>
      </c>
      <c r="M829" t="s">
        <v>1723</v>
      </c>
      <c r="N829">
        <v>850077</v>
      </c>
      <c r="P829" t="s">
        <v>1723</v>
      </c>
      <c r="Q829">
        <v>849943</v>
      </c>
      <c r="S829" t="s">
        <v>1723</v>
      </c>
      <c r="T829">
        <v>813279</v>
      </c>
      <c r="V829" t="s">
        <v>1723</v>
      </c>
      <c r="W829">
        <v>779895</v>
      </c>
    </row>
    <row r="830" spans="1:23" x14ac:dyDescent="0.25">
      <c r="A830" s="400" t="s">
        <v>1721</v>
      </c>
      <c r="B830">
        <v>875566</v>
      </c>
      <c r="D830" t="s">
        <v>1724</v>
      </c>
      <c r="E830">
        <v>-663</v>
      </c>
      <c r="G830" t="s">
        <v>1724</v>
      </c>
      <c r="H830">
        <v>-1450</v>
      </c>
      <c r="J830" t="s">
        <v>1724</v>
      </c>
      <c r="K830">
        <v>-1450</v>
      </c>
      <c r="M830" t="s">
        <v>1724</v>
      </c>
      <c r="N830">
        <v>-1450</v>
      </c>
      <c r="P830" t="s">
        <v>1724</v>
      </c>
      <c r="Q830">
        <v>-1450</v>
      </c>
      <c r="S830" t="s">
        <v>1724</v>
      </c>
      <c r="T830">
        <v>-1450</v>
      </c>
      <c r="V830" t="s">
        <v>1724</v>
      </c>
      <c r="W830">
        <v>-1450</v>
      </c>
    </row>
    <row r="831" spans="1:23" x14ac:dyDescent="0.25">
      <c r="A831" s="400" t="s">
        <v>1722</v>
      </c>
      <c r="B831">
        <v>8</v>
      </c>
      <c r="D831" t="s">
        <v>1725</v>
      </c>
      <c r="E831">
        <v>-424</v>
      </c>
      <c r="G831" t="s">
        <v>1725</v>
      </c>
      <c r="H831">
        <v>-828</v>
      </c>
      <c r="J831" t="s">
        <v>1725</v>
      </c>
      <c r="K831">
        <v>-828</v>
      </c>
      <c r="M831" t="s">
        <v>1725</v>
      </c>
      <c r="N831">
        <v>-828</v>
      </c>
      <c r="P831" t="s">
        <v>1725</v>
      </c>
      <c r="Q831">
        <v>-828</v>
      </c>
      <c r="S831" t="s">
        <v>1725</v>
      </c>
      <c r="T831">
        <v>-828</v>
      </c>
      <c r="V831" t="s">
        <v>1725</v>
      </c>
      <c r="W831">
        <v>-828</v>
      </c>
    </row>
    <row r="832" spans="1:23" x14ac:dyDescent="0.25">
      <c r="A832" s="400" t="s">
        <v>1723</v>
      </c>
      <c r="B832">
        <v>875558</v>
      </c>
      <c r="D832" t="s">
        <v>1726</v>
      </c>
      <c r="E832">
        <v>-1087</v>
      </c>
      <c r="G832" t="s">
        <v>1726</v>
      </c>
      <c r="H832">
        <v>-2278</v>
      </c>
      <c r="J832" t="s">
        <v>1726</v>
      </c>
      <c r="K832">
        <v>-2278</v>
      </c>
      <c r="M832" t="s">
        <v>1726</v>
      </c>
      <c r="N832">
        <v>-2278</v>
      </c>
      <c r="P832" t="s">
        <v>1726</v>
      </c>
      <c r="Q832">
        <v>-2278</v>
      </c>
      <c r="S832" t="s">
        <v>1726</v>
      </c>
      <c r="T832">
        <v>-2278</v>
      </c>
      <c r="V832" t="s">
        <v>1726</v>
      </c>
      <c r="W832">
        <v>-2278</v>
      </c>
    </row>
    <row r="833" spans="1:23" x14ac:dyDescent="0.25">
      <c r="A833" s="400" t="s">
        <v>1724</v>
      </c>
      <c r="B833">
        <v>14</v>
      </c>
      <c r="E833">
        <v>0</v>
      </c>
      <c r="H833">
        <v>0</v>
      </c>
      <c r="K833">
        <v>0</v>
      </c>
      <c r="N833">
        <v>0</v>
      </c>
      <c r="Q833">
        <v>0</v>
      </c>
      <c r="T833">
        <v>0</v>
      </c>
      <c r="W833">
        <v>0</v>
      </c>
    </row>
    <row r="834" spans="1:23" x14ac:dyDescent="0.25">
      <c r="A834" s="400" t="s">
        <v>1725</v>
      </c>
      <c r="B834">
        <v>8</v>
      </c>
      <c r="E834">
        <v>0</v>
      </c>
      <c r="H834">
        <v>0</v>
      </c>
      <c r="K834">
        <v>0</v>
      </c>
      <c r="N834">
        <v>0</v>
      </c>
      <c r="Q834">
        <v>0</v>
      </c>
      <c r="T834">
        <v>0</v>
      </c>
      <c r="W834">
        <v>0</v>
      </c>
    </row>
    <row r="835" spans="1:23" x14ac:dyDescent="0.25">
      <c r="A835" s="400" t="s">
        <v>1726</v>
      </c>
      <c r="B835">
        <v>22</v>
      </c>
      <c r="D835" t="s">
        <v>1727</v>
      </c>
      <c r="E835">
        <v>807731</v>
      </c>
      <c r="G835" t="s">
        <v>1727</v>
      </c>
      <c r="H835">
        <v>785260</v>
      </c>
      <c r="J835" t="s">
        <v>1727</v>
      </c>
      <c r="K835">
        <v>820233</v>
      </c>
      <c r="M835" t="s">
        <v>1727</v>
      </c>
      <c r="N835">
        <v>850077</v>
      </c>
      <c r="P835" t="s">
        <v>1727</v>
      </c>
      <c r="Q835">
        <v>849943</v>
      </c>
      <c r="S835" t="s">
        <v>1727</v>
      </c>
      <c r="T835">
        <v>813279</v>
      </c>
      <c r="V835" t="s">
        <v>1727</v>
      </c>
      <c r="W835">
        <v>779895</v>
      </c>
    </row>
    <row r="836" spans="1:23" x14ac:dyDescent="0.25">
      <c r="A836" s="400"/>
      <c r="B836">
        <v>0</v>
      </c>
      <c r="D836" t="s">
        <v>1728</v>
      </c>
      <c r="E836">
        <v>260993618</v>
      </c>
      <c r="G836" t="s">
        <v>1728</v>
      </c>
      <c r="H836">
        <v>270053615</v>
      </c>
      <c r="J836" t="s">
        <v>1728</v>
      </c>
      <c r="K836">
        <v>278155223</v>
      </c>
      <c r="M836" t="s">
        <v>1728</v>
      </c>
      <c r="N836">
        <v>286499880</v>
      </c>
      <c r="P836" t="s">
        <v>1728</v>
      </c>
      <c r="Q836">
        <v>295094876</v>
      </c>
      <c r="S836" t="s">
        <v>1728</v>
      </c>
      <c r="T836">
        <v>303947722</v>
      </c>
      <c r="V836" t="s">
        <v>1728</v>
      </c>
      <c r="W836">
        <v>313066154</v>
      </c>
    </row>
    <row r="837" spans="1:23" x14ac:dyDescent="0.25">
      <c r="A837" s="400"/>
      <c r="B837">
        <v>0</v>
      </c>
      <c r="D837" t="s">
        <v>1729</v>
      </c>
      <c r="E837">
        <v>3.09483</v>
      </c>
      <c r="G837" t="s">
        <v>1729</v>
      </c>
      <c r="H837">
        <v>2.9077899999999999</v>
      </c>
      <c r="J837" t="s">
        <v>1729</v>
      </c>
      <c r="K837">
        <v>2.9488300000000001</v>
      </c>
      <c r="M837" t="s">
        <v>1729</v>
      </c>
      <c r="N837">
        <v>2.9671099999999999</v>
      </c>
      <c r="P837" t="s">
        <v>1729</v>
      </c>
      <c r="Q837">
        <v>2.8802400000000001</v>
      </c>
      <c r="S837" t="s">
        <v>1729</v>
      </c>
      <c r="T837">
        <v>2.6757200000000001</v>
      </c>
      <c r="V837" t="s">
        <v>1729</v>
      </c>
      <c r="W837">
        <v>2.4911500000000002</v>
      </c>
    </row>
    <row r="838" spans="1:23" x14ac:dyDescent="0.25">
      <c r="A838" s="400" t="s">
        <v>1727</v>
      </c>
      <c r="B838">
        <v>875558</v>
      </c>
      <c r="D838" t="s">
        <v>1730</v>
      </c>
      <c r="E838">
        <v>1114699</v>
      </c>
      <c r="G838" t="s">
        <v>1730</v>
      </c>
      <c r="H838">
        <v>1423110</v>
      </c>
      <c r="J838" t="s">
        <v>1730</v>
      </c>
      <c r="K838">
        <v>1465804</v>
      </c>
      <c r="M838" t="s">
        <v>1730</v>
      </c>
      <c r="N838">
        <v>1509778</v>
      </c>
      <c r="P838" t="s">
        <v>1730</v>
      </c>
      <c r="Q838">
        <v>1555071</v>
      </c>
      <c r="S838" t="s">
        <v>1730</v>
      </c>
      <c r="T838">
        <v>1601723</v>
      </c>
      <c r="V838" t="s">
        <v>1730</v>
      </c>
      <c r="W838">
        <v>1649775</v>
      </c>
    </row>
    <row r="839" spans="1:23" x14ac:dyDescent="0.25">
      <c r="A839" s="400" t="s">
        <v>1728</v>
      </c>
      <c r="B839">
        <v>252046215</v>
      </c>
      <c r="D839" t="s">
        <v>1731</v>
      </c>
      <c r="E839">
        <v>3450</v>
      </c>
      <c r="G839" t="s">
        <v>1731</v>
      </c>
      <c r="H839">
        <v>4138</v>
      </c>
      <c r="J839" t="s">
        <v>1731</v>
      </c>
      <c r="K839">
        <v>4322</v>
      </c>
      <c r="M839" t="s">
        <v>1731</v>
      </c>
      <c r="N839">
        <v>4480</v>
      </c>
      <c r="P839" t="s">
        <v>1731</v>
      </c>
      <c r="Q839">
        <v>4479</v>
      </c>
      <c r="S839" t="s">
        <v>1731</v>
      </c>
      <c r="T839">
        <v>4286</v>
      </c>
      <c r="V839" t="s">
        <v>1731</v>
      </c>
      <c r="W839">
        <v>4110</v>
      </c>
    </row>
    <row r="840" spans="1:23" x14ac:dyDescent="0.25">
      <c r="A840" s="400" t="s">
        <v>1729</v>
      </c>
      <c r="B840">
        <v>3.4738000000000002</v>
      </c>
      <c r="D840" t="s">
        <v>1732</v>
      </c>
      <c r="E840">
        <v>3631</v>
      </c>
      <c r="G840" t="s">
        <v>1732</v>
      </c>
      <c r="H840">
        <v>3432</v>
      </c>
      <c r="J840" t="s">
        <v>1732</v>
      </c>
      <c r="K840">
        <v>3432</v>
      </c>
      <c r="M840" t="s">
        <v>1732</v>
      </c>
      <c r="N840">
        <v>3432</v>
      </c>
      <c r="P840" t="s">
        <v>1732</v>
      </c>
      <c r="Q840">
        <v>3432</v>
      </c>
      <c r="S840" t="s">
        <v>1732</v>
      </c>
      <c r="T840">
        <v>3432</v>
      </c>
      <c r="V840" t="s">
        <v>1732</v>
      </c>
      <c r="W840">
        <v>3432</v>
      </c>
    </row>
    <row r="841" spans="1:23" x14ac:dyDescent="0.25">
      <c r="A841" s="400" t="s">
        <v>1730</v>
      </c>
      <c r="B841">
        <v>1180675</v>
      </c>
      <c r="D841" t="s">
        <v>1733</v>
      </c>
      <c r="E841">
        <v>4101</v>
      </c>
      <c r="G841" t="s">
        <v>1733</v>
      </c>
      <c r="H841">
        <v>3450</v>
      </c>
      <c r="J841" t="s">
        <v>1733</v>
      </c>
      <c r="K841">
        <v>4138</v>
      </c>
      <c r="M841" t="s">
        <v>1733</v>
      </c>
      <c r="N841">
        <v>4322</v>
      </c>
      <c r="P841" t="s">
        <v>1733</v>
      </c>
      <c r="Q841">
        <v>4480</v>
      </c>
      <c r="S841" t="s">
        <v>1733</v>
      </c>
      <c r="T841">
        <v>4479</v>
      </c>
      <c r="V841" t="s">
        <v>1733</v>
      </c>
      <c r="W841">
        <v>4286</v>
      </c>
    </row>
    <row r="842" spans="1:23" x14ac:dyDescent="0.25">
      <c r="A842" s="400" t="s">
        <v>1731</v>
      </c>
      <c r="B842">
        <v>4101</v>
      </c>
      <c r="D842" t="s">
        <v>1734</v>
      </c>
      <c r="E842">
        <v>-470</v>
      </c>
      <c r="G842" t="s">
        <v>1734</v>
      </c>
      <c r="H842">
        <v>-18</v>
      </c>
      <c r="J842" t="s">
        <v>1734</v>
      </c>
      <c r="K842">
        <v>-706</v>
      </c>
      <c r="M842" t="s">
        <v>1734</v>
      </c>
      <c r="N842">
        <v>-890</v>
      </c>
      <c r="P842" t="s">
        <v>1734</v>
      </c>
      <c r="Q842">
        <v>-1048</v>
      </c>
      <c r="S842" t="s">
        <v>1734</v>
      </c>
      <c r="T842">
        <v>-1047</v>
      </c>
      <c r="V842" t="s">
        <v>1734</v>
      </c>
      <c r="W842">
        <v>-854</v>
      </c>
    </row>
    <row r="843" spans="1:23" x14ac:dyDescent="0.25">
      <c r="A843" s="400" t="s">
        <v>1732</v>
      </c>
      <c r="B843">
        <v>1605</v>
      </c>
      <c r="D843" t="s">
        <v>1735</v>
      </c>
      <c r="E843">
        <v>3450</v>
      </c>
      <c r="G843" t="s">
        <v>1735</v>
      </c>
      <c r="H843">
        <v>4138</v>
      </c>
      <c r="J843" t="s">
        <v>1735</v>
      </c>
      <c r="K843">
        <v>4322</v>
      </c>
      <c r="M843" t="s">
        <v>1735</v>
      </c>
      <c r="N843">
        <v>4480</v>
      </c>
      <c r="P843" t="s">
        <v>1735</v>
      </c>
      <c r="Q843">
        <v>4479</v>
      </c>
      <c r="S843" t="s">
        <v>1735</v>
      </c>
      <c r="T843">
        <v>4286</v>
      </c>
      <c r="V843" t="s">
        <v>1735</v>
      </c>
      <c r="W843">
        <v>4110</v>
      </c>
    </row>
    <row r="844" spans="1:23" x14ac:dyDescent="0.25">
      <c r="A844" s="400" t="s">
        <v>1733</v>
      </c>
      <c r="B844">
        <v>1609</v>
      </c>
      <c r="D844" t="s">
        <v>1736</v>
      </c>
      <c r="E844">
        <v>2980</v>
      </c>
      <c r="G844" t="s">
        <v>1736</v>
      </c>
      <c r="H844">
        <v>4120</v>
      </c>
      <c r="J844" t="s">
        <v>1736</v>
      </c>
      <c r="K844">
        <v>3616</v>
      </c>
      <c r="M844" t="s">
        <v>1736</v>
      </c>
      <c r="N844">
        <v>3590</v>
      </c>
      <c r="P844" t="s">
        <v>1736</v>
      </c>
      <c r="Q844">
        <v>3431</v>
      </c>
      <c r="S844" t="s">
        <v>1736</v>
      </c>
      <c r="T844">
        <v>3239</v>
      </c>
      <c r="V844" t="s">
        <v>1736</v>
      </c>
      <c r="W844">
        <v>3256</v>
      </c>
    </row>
    <row r="845" spans="1:23" x14ac:dyDescent="0.25">
      <c r="A845" s="400" t="s">
        <v>1734</v>
      </c>
      <c r="B845">
        <v>-4</v>
      </c>
      <c r="D845" t="s">
        <v>1737</v>
      </c>
      <c r="E845">
        <v>807731</v>
      </c>
      <c r="G845" t="s">
        <v>1737</v>
      </c>
      <c r="H845">
        <v>785260</v>
      </c>
      <c r="J845" t="s">
        <v>1737</v>
      </c>
      <c r="K845">
        <v>820233</v>
      </c>
      <c r="M845" t="s">
        <v>1737</v>
      </c>
      <c r="N845">
        <v>850077</v>
      </c>
      <c r="P845" t="s">
        <v>1737</v>
      </c>
      <c r="Q845">
        <v>849943</v>
      </c>
      <c r="S845" t="s">
        <v>1737</v>
      </c>
      <c r="T845">
        <v>813279</v>
      </c>
      <c r="V845" t="s">
        <v>1737</v>
      </c>
      <c r="W845">
        <v>779895</v>
      </c>
    </row>
    <row r="846" spans="1:23" x14ac:dyDescent="0.25">
      <c r="A846" s="400" t="s">
        <v>1735</v>
      </c>
      <c r="B846">
        <v>4101</v>
      </c>
      <c r="D846" t="s">
        <v>1738</v>
      </c>
      <c r="E846">
        <v>2980</v>
      </c>
      <c r="G846" t="s">
        <v>1738</v>
      </c>
      <c r="H846">
        <v>4120</v>
      </c>
      <c r="J846" t="s">
        <v>1738</v>
      </c>
      <c r="K846">
        <v>3616</v>
      </c>
      <c r="M846" t="s">
        <v>1738</v>
      </c>
      <c r="N846">
        <v>3590</v>
      </c>
      <c r="P846" t="s">
        <v>1738</v>
      </c>
      <c r="Q846">
        <v>3431</v>
      </c>
      <c r="S846" t="s">
        <v>1738</v>
      </c>
      <c r="T846">
        <v>3239</v>
      </c>
      <c r="V846" t="s">
        <v>1738</v>
      </c>
      <c r="W846">
        <v>3256</v>
      </c>
    </row>
    <row r="847" spans="1:23" x14ac:dyDescent="0.25">
      <c r="A847" s="400" t="s">
        <v>1736</v>
      </c>
      <c r="B847">
        <v>4097</v>
      </c>
      <c r="D847" t="s">
        <v>1739</v>
      </c>
      <c r="E847">
        <v>804751</v>
      </c>
      <c r="G847" t="s">
        <v>1739</v>
      </c>
      <c r="H847">
        <v>781140</v>
      </c>
      <c r="J847" t="s">
        <v>1739</v>
      </c>
      <c r="K847">
        <v>816617</v>
      </c>
      <c r="M847" t="s">
        <v>1739</v>
      </c>
      <c r="N847">
        <v>846487</v>
      </c>
      <c r="P847" t="s">
        <v>1739</v>
      </c>
      <c r="Q847">
        <v>846512</v>
      </c>
      <c r="S847" t="s">
        <v>1739</v>
      </c>
      <c r="T847">
        <v>810040</v>
      </c>
      <c r="V847" t="s">
        <v>1739</v>
      </c>
      <c r="W847">
        <v>776639</v>
      </c>
    </row>
    <row r="848" spans="1:23" x14ac:dyDescent="0.25">
      <c r="A848" s="400" t="s">
        <v>1737</v>
      </c>
      <c r="B848">
        <v>875558</v>
      </c>
      <c r="D848" t="s">
        <v>1740</v>
      </c>
      <c r="E848">
        <v>5314</v>
      </c>
      <c r="G848" t="s">
        <v>1740</v>
      </c>
      <c r="H848">
        <v>7677</v>
      </c>
      <c r="J848" t="s">
        <v>1740</v>
      </c>
      <c r="K848">
        <v>6241</v>
      </c>
      <c r="M848" t="s">
        <v>1740</v>
      </c>
      <c r="N848">
        <v>6249</v>
      </c>
      <c r="P848" t="s">
        <v>1740</v>
      </c>
      <c r="Q848">
        <v>6255</v>
      </c>
      <c r="S848" t="s">
        <v>1740</v>
      </c>
      <c r="T848">
        <v>6263</v>
      </c>
      <c r="V848" t="s">
        <v>1740</v>
      </c>
      <c r="W848">
        <v>6271</v>
      </c>
    </row>
    <row r="849" spans="1:23" x14ac:dyDescent="0.25">
      <c r="A849" s="400" t="s">
        <v>1738</v>
      </c>
      <c r="B849">
        <v>4097</v>
      </c>
      <c r="D849" t="s">
        <v>1741</v>
      </c>
      <c r="E849">
        <v>2980</v>
      </c>
      <c r="G849" t="s">
        <v>1741</v>
      </c>
      <c r="H849">
        <v>4120</v>
      </c>
      <c r="J849" t="s">
        <v>1741</v>
      </c>
      <c r="K849">
        <v>3616</v>
      </c>
      <c r="M849" t="s">
        <v>1741</v>
      </c>
      <c r="N849">
        <v>3590</v>
      </c>
      <c r="P849" t="s">
        <v>1741</v>
      </c>
      <c r="Q849">
        <v>3431</v>
      </c>
      <c r="S849" t="s">
        <v>1741</v>
      </c>
      <c r="T849">
        <v>3239</v>
      </c>
      <c r="V849" t="s">
        <v>1741</v>
      </c>
      <c r="W849">
        <v>3256</v>
      </c>
    </row>
    <row r="850" spans="1:23" x14ac:dyDescent="0.25">
      <c r="A850" s="400" t="s">
        <v>1739</v>
      </c>
      <c r="B850">
        <v>871461</v>
      </c>
      <c r="D850" t="s">
        <v>1742</v>
      </c>
      <c r="E850">
        <v>8294</v>
      </c>
      <c r="G850" t="s">
        <v>1742</v>
      </c>
      <c r="H850">
        <v>11797</v>
      </c>
      <c r="J850" t="s">
        <v>1742</v>
      </c>
      <c r="K850">
        <v>9857</v>
      </c>
      <c r="M850" t="s">
        <v>1742</v>
      </c>
      <c r="N850">
        <v>9839</v>
      </c>
      <c r="P850" t="s">
        <v>1742</v>
      </c>
      <c r="Q850">
        <v>9686</v>
      </c>
      <c r="S850" t="s">
        <v>1742</v>
      </c>
      <c r="T850">
        <v>9502</v>
      </c>
      <c r="V850" t="s">
        <v>1742</v>
      </c>
      <c r="W850">
        <v>9527</v>
      </c>
    </row>
    <row r="851" spans="1:23" x14ac:dyDescent="0.25">
      <c r="A851" s="400" t="s">
        <v>1740</v>
      </c>
      <c r="B851">
        <v>6375</v>
      </c>
      <c r="E851">
        <v>0</v>
      </c>
      <c r="H851">
        <v>0</v>
      </c>
      <c r="K851">
        <v>0</v>
      </c>
      <c r="N851">
        <v>0</v>
      </c>
      <c r="Q851">
        <v>0</v>
      </c>
      <c r="T851">
        <v>0</v>
      </c>
      <c r="W851">
        <v>0</v>
      </c>
    </row>
    <row r="852" spans="1:23" x14ac:dyDescent="0.25">
      <c r="A852" s="400" t="s">
        <v>1741</v>
      </c>
      <c r="B852">
        <v>4097</v>
      </c>
      <c r="E852">
        <v>0</v>
      </c>
      <c r="H852">
        <v>0</v>
      </c>
      <c r="K852">
        <v>0</v>
      </c>
      <c r="N852">
        <v>0</v>
      </c>
      <c r="Q852">
        <v>0</v>
      </c>
      <c r="T852">
        <v>0</v>
      </c>
      <c r="W852">
        <v>0</v>
      </c>
    </row>
    <row r="853" spans="1:23" x14ac:dyDescent="0.25">
      <c r="A853" s="400" t="s">
        <v>1742</v>
      </c>
      <c r="B853">
        <v>10472</v>
      </c>
      <c r="E853">
        <v>0</v>
      </c>
      <c r="H853">
        <v>0</v>
      </c>
      <c r="K853">
        <v>0</v>
      </c>
      <c r="N853">
        <v>0</v>
      </c>
      <c r="Q853">
        <v>0</v>
      </c>
      <c r="T853">
        <v>0</v>
      </c>
      <c r="W853">
        <v>0</v>
      </c>
    </row>
    <row r="854" spans="1:23" x14ac:dyDescent="0.25">
      <c r="A854" s="400"/>
      <c r="B854">
        <v>0</v>
      </c>
      <c r="D854" t="s">
        <v>1743</v>
      </c>
      <c r="E854">
        <v>1409366</v>
      </c>
      <c r="G854" t="s">
        <v>1743</v>
      </c>
      <c r="H854">
        <v>1458290</v>
      </c>
      <c r="J854" t="s">
        <v>1743</v>
      </c>
      <c r="K854">
        <v>1502038</v>
      </c>
      <c r="M854" t="s">
        <v>1743</v>
      </c>
      <c r="N854">
        <v>1547099</v>
      </c>
      <c r="P854" t="s">
        <v>1743</v>
      </c>
      <c r="Q854">
        <v>1593512</v>
      </c>
      <c r="S854" t="s">
        <v>1743</v>
      </c>
      <c r="T854">
        <v>1641318</v>
      </c>
      <c r="V854" t="s">
        <v>1743</v>
      </c>
      <c r="W854">
        <v>1690557</v>
      </c>
    </row>
    <row r="855" spans="1:23" x14ac:dyDescent="0.25">
      <c r="A855" s="400"/>
      <c r="B855">
        <v>0</v>
      </c>
      <c r="D855" t="s">
        <v>1744</v>
      </c>
      <c r="E855">
        <v>804751</v>
      </c>
      <c r="G855" t="s">
        <v>1744</v>
      </c>
      <c r="H855">
        <v>781140</v>
      </c>
      <c r="J855" t="s">
        <v>1744</v>
      </c>
      <c r="K855">
        <v>816617</v>
      </c>
      <c r="M855" t="s">
        <v>1744</v>
      </c>
      <c r="N855">
        <v>846487</v>
      </c>
      <c r="P855" t="s">
        <v>1744</v>
      </c>
      <c r="Q855">
        <v>846512</v>
      </c>
      <c r="S855" t="s">
        <v>1744</v>
      </c>
      <c r="T855">
        <v>810040</v>
      </c>
      <c r="V855" t="s">
        <v>1744</v>
      </c>
      <c r="W855">
        <v>776639</v>
      </c>
    </row>
    <row r="856" spans="1:23" x14ac:dyDescent="0.25">
      <c r="A856" s="400"/>
      <c r="B856">
        <v>0</v>
      </c>
      <c r="D856" t="s">
        <v>1745</v>
      </c>
      <c r="E856">
        <v>2214117</v>
      </c>
      <c r="G856" t="s">
        <v>1745</v>
      </c>
      <c r="H856">
        <v>2239430</v>
      </c>
      <c r="J856" t="s">
        <v>1745</v>
      </c>
      <c r="K856">
        <v>2318655</v>
      </c>
      <c r="M856" t="s">
        <v>1745</v>
      </c>
      <c r="N856">
        <v>2393586</v>
      </c>
      <c r="P856" t="s">
        <v>1745</v>
      </c>
      <c r="Q856">
        <v>2440024</v>
      </c>
      <c r="S856" t="s">
        <v>1745</v>
      </c>
      <c r="T856">
        <v>2451358</v>
      </c>
      <c r="V856" t="s">
        <v>1745</v>
      </c>
      <c r="W856">
        <v>2467196</v>
      </c>
    </row>
    <row r="857" spans="1:23" x14ac:dyDescent="0.25">
      <c r="A857" s="400" t="s">
        <v>1743</v>
      </c>
      <c r="B857">
        <v>1361050</v>
      </c>
      <c r="D857" t="s">
        <v>1746</v>
      </c>
      <c r="E857">
        <v>274934</v>
      </c>
      <c r="G857" t="s">
        <v>1746</v>
      </c>
      <c r="H857">
        <v>51705</v>
      </c>
      <c r="J857" t="s">
        <v>1746</v>
      </c>
      <c r="K857">
        <v>48172</v>
      </c>
      <c r="M857" t="s">
        <v>1746</v>
      </c>
      <c r="N857">
        <v>45417</v>
      </c>
      <c r="P857" t="s">
        <v>1746</v>
      </c>
      <c r="Q857">
        <v>39723</v>
      </c>
      <c r="S857" t="s">
        <v>1746</v>
      </c>
      <c r="T857">
        <v>33151</v>
      </c>
      <c r="V857" t="s">
        <v>1746</v>
      </c>
      <c r="W857">
        <v>28938</v>
      </c>
    </row>
    <row r="858" spans="1:23" x14ac:dyDescent="0.25">
      <c r="A858" s="400" t="s">
        <v>1744</v>
      </c>
      <c r="B858">
        <v>871461</v>
      </c>
      <c r="D858" t="s">
        <v>1747</v>
      </c>
      <c r="E858">
        <v>0</v>
      </c>
      <c r="G858" t="s">
        <v>1747</v>
      </c>
      <c r="H858">
        <v>0</v>
      </c>
      <c r="J858" t="s">
        <v>1747</v>
      </c>
      <c r="K858">
        <v>0</v>
      </c>
      <c r="M858" t="s">
        <v>1747</v>
      </c>
      <c r="N858">
        <v>0</v>
      </c>
      <c r="P858" t="s">
        <v>1747</v>
      </c>
      <c r="Q858">
        <v>0</v>
      </c>
      <c r="S858" t="s">
        <v>1747</v>
      </c>
      <c r="T858">
        <v>0</v>
      </c>
      <c r="V858" t="s">
        <v>1747</v>
      </c>
      <c r="W858">
        <v>0</v>
      </c>
    </row>
    <row r="859" spans="1:23" x14ac:dyDescent="0.25">
      <c r="A859" s="400" t="s">
        <v>1745</v>
      </c>
      <c r="B859">
        <v>2232511</v>
      </c>
      <c r="D859" t="s">
        <v>1748</v>
      </c>
      <c r="E859">
        <v>0</v>
      </c>
      <c r="G859" t="s">
        <v>1748</v>
      </c>
      <c r="H859">
        <v>0</v>
      </c>
      <c r="J859" t="s">
        <v>1748</v>
      </c>
      <c r="K859">
        <v>0</v>
      </c>
      <c r="M859" t="s">
        <v>1748</v>
      </c>
      <c r="N859">
        <v>0</v>
      </c>
      <c r="P859" t="s">
        <v>1748</v>
      </c>
      <c r="Q859">
        <v>0</v>
      </c>
      <c r="S859" t="s">
        <v>1748</v>
      </c>
      <c r="T859">
        <v>0</v>
      </c>
      <c r="V859" t="s">
        <v>1748</v>
      </c>
      <c r="W859">
        <v>0</v>
      </c>
    </row>
    <row r="860" spans="1:23" x14ac:dyDescent="0.25">
      <c r="A860" s="400" t="s">
        <v>1746</v>
      </c>
      <c r="B860">
        <v>284231</v>
      </c>
      <c r="D860" t="s">
        <v>1749</v>
      </c>
      <c r="E860">
        <v>0</v>
      </c>
      <c r="G860" t="s">
        <v>1749</v>
      </c>
      <c r="H860">
        <v>0</v>
      </c>
      <c r="J860" t="s">
        <v>1749</v>
      </c>
      <c r="K860">
        <v>0</v>
      </c>
      <c r="M860" t="s">
        <v>1749</v>
      </c>
      <c r="N860">
        <v>0</v>
      </c>
      <c r="P860" t="s">
        <v>1749</v>
      </c>
      <c r="Q860">
        <v>0</v>
      </c>
      <c r="S860" t="s">
        <v>1749</v>
      </c>
      <c r="T860">
        <v>0</v>
      </c>
      <c r="V860" t="s">
        <v>1749</v>
      </c>
      <c r="W860">
        <v>0</v>
      </c>
    </row>
    <row r="861" spans="1:23" x14ac:dyDescent="0.25">
      <c r="A861" s="400" t="s">
        <v>1747</v>
      </c>
      <c r="B861">
        <v>0</v>
      </c>
      <c r="D861" t="s">
        <v>1750</v>
      </c>
      <c r="E861">
        <v>2489051</v>
      </c>
      <c r="G861" t="s">
        <v>1750</v>
      </c>
      <c r="H861">
        <v>2291135</v>
      </c>
      <c r="J861" t="s">
        <v>1750</v>
      </c>
      <c r="K861">
        <v>2366827</v>
      </c>
      <c r="M861" t="s">
        <v>1750</v>
      </c>
      <c r="N861">
        <v>2439003</v>
      </c>
      <c r="P861" t="s">
        <v>1750</v>
      </c>
      <c r="Q861">
        <v>2479747</v>
      </c>
      <c r="S861" t="s">
        <v>1750</v>
      </c>
      <c r="T861">
        <v>2484509</v>
      </c>
      <c r="V861" t="s">
        <v>1750</v>
      </c>
      <c r="W861">
        <v>2496134</v>
      </c>
    </row>
    <row r="862" spans="1:23" x14ac:dyDescent="0.25">
      <c r="A862" s="400" t="s">
        <v>1748</v>
      </c>
      <c r="B862">
        <v>0</v>
      </c>
      <c r="D862" t="s">
        <v>1751</v>
      </c>
      <c r="E862">
        <v>176634</v>
      </c>
      <c r="G862" t="s">
        <v>1751</v>
      </c>
      <c r="H862">
        <v>379557</v>
      </c>
      <c r="J862" t="s">
        <v>1751</v>
      </c>
      <c r="K862">
        <v>230000</v>
      </c>
      <c r="M862" t="s">
        <v>1751</v>
      </c>
      <c r="N862">
        <v>235000</v>
      </c>
      <c r="P862" t="s">
        <v>1751</v>
      </c>
      <c r="Q862">
        <v>240000</v>
      </c>
      <c r="S862" t="s">
        <v>1751</v>
      </c>
      <c r="T862">
        <v>235000</v>
      </c>
      <c r="V862" t="s">
        <v>1751</v>
      </c>
      <c r="W862">
        <v>235000</v>
      </c>
    </row>
    <row r="863" spans="1:23" x14ac:dyDescent="0.25">
      <c r="A863" s="400" t="s">
        <v>1749</v>
      </c>
      <c r="B863">
        <v>0</v>
      </c>
      <c r="D863" t="s">
        <v>1752</v>
      </c>
      <c r="E863">
        <v>0</v>
      </c>
      <c r="G863" t="s">
        <v>1752</v>
      </c>
      <c r="H863">
        <v>200000</v>
      </c>
      <c r="J863" t="s">
        <v>1752</v>
      </c>
      <c r="K863">
        <v>411118</v>
      </c>
      <c r="M863" t="s">
        <v>1752</v>
      </c>
      <c r="N863">
        <v>435183</v>
      </c>
      <c r="P863" t="s">
        <v>1752</v>
      </c>
      <c r="Q863">
        <v>505101</v>
      </c>
      <c r="S863" t="s">
        <v>1752</v>
      </c>
      <c r="T863">
        <v>609536</v>
      </c>
      <c r="V863" t="s">
        <v>1752</v>
      </c>
      <c r="W863">
        <v>715743</v>
      </c>
    </row>
    <row r="864" spans="1:23" x14ac:dyDescent="0.25">
      <c r="A864" s="400" t="s">
        <v>1750</v>
      </c>
      <c r="B864">
        <v>2516742</v>
      </c>
      <c r="D864" t="s">
        <v>1753</v>
      </c>
      <c r="E864">
        <v>0</v>
      </c>
      <c r="G864" t="s">
        <v>1753</v>
      </c>
      <c r="H864">
        <v>0</v>
      </c>
      <c r="J864" t="s">
        <v>1753</v>
      </c>
      <c r="K864">
        <v>0</v>
      </c>
      <c r="M864" t="s">
        <v>1753</v>
      </c>
      <c r="N864">
        <v>0</v>
      </c>
      <c r="P864" t="s">
        <v>1753</v>
      </c>
      <c r="Q864">
        <v>0</v>
      </c>
      <c r="S864" t="s">
        <v>1753</v>
      </c>
      <c r="T864">
        <v>0</v>
      </c>
      <c r="V864" t="s">
        <v>1753</v>
      </c>
      <c r="W864">
        <v>0</v>
      </c>
    </row>
    <row r="865" spans="1:23" x14ac:dyDescent="0.25">
      <c r="A865" s="400" t="s">
        <v>1751</v>
      </c>
      <c r="B865">
        <v>92944</v>
      </c>
      <c r="D865" t="s">
        <v>1754</v>
      </c>
      <c r="E865">
        <v>2665685</v>
      </c>
      <c r="G865" t="s">
        <v>1754</v>
      </c>
      <c r="H865">
        <v>2870692</v>
      </c>
      <c r="J865" t="s">
        <v>1754</v>
      </c>
      <c r="K865">
        <v>3007945</v>
      </c>
      <c r="M865" t="s">
        <v>1754</v>
      </c>
      <c r="N865">
        <v>3109186</v>
      </c>
      <c r="P865" t="s">
        <v>1754</v>
      </c>
      <c r="Q865">
        <v>3224848</v>
      </c>
      <c r="S865" t="s">
        <v>1754</v>
      </c>
      <c r="T865">
        <v>3329045</v>
      </c>
      <c r="V865" t="s">
        <v>1754</v>
      </c>
      <c r="W865">
        <v>3446877</v>
      </c>
    </row>
    <row r="866" spans="1:23" x14ac:dyDescent="0.25">
      <c r="A866" s="400" t="s">
        <v>1752</v>
      </c>
      <c r="B866">
        <v>0</v>
      </c>
      <c r="D866" t="s">
        <v>1755</v>
      </c>
      <c r="E866">
        <v>274934</v>
      </c>
      <c r="G866" t="s">
        <v>1755</v>
      </c>
      <c r="H866">
        <v>51705</v>
      </c>
      <c r="J866" t="s">
        <v>1755</v>
      </c>
      <c r="K866">
        <v>48172</v>
      </c>
      <c r="M866" t="s">
        <v>1755</v>
      </c>
      <c r="N866">
        <v>45417</v>
      </c>
      <c r="P866" t="s">
        <v>1755</v>
      </c>
      <c r="Q866">
        <v>39723</v>
      </c>
      <c r="S866" t="s">
        <v>1755</v>
      </c>
      <c r="T866">
        <v>33151</v>
      </c>
      <c r="V866" t="s">
        <v>1755</v>
      </c>
      <c r="W866">
        <v>28938</v>
      </c>
    </row>
    <row r="867" spans="1:23" x14ac:dyDescent="0.25">
      <c r="A867" s="400" t="s">
        <v>1753</v>
      </c>
      <c r="B867">
        <v>0</v>
      </c>
      <c r="D867" t="s">
        <v>1756</v>
      </c>
      <c r="E867">
        <v>2390751</v>
      </c>
      <c r="G867" t="s">
        <v>1756</v>
      </c>
      <c r="H867">
        <v>2818987</v>
      </c>
      <c r="J867" t="s">
        <v>1756</v>
      </c>
      <c r="K867">
        <v>2959773</v>
      </c>
      <c r="M867" t="s">
        <v>1756</v>
      </c>
      <c r="N867">
        <v>3063769</v>
      </c>
      <c r="P867" t="s">
        <v>1756</v>
      </c>
      <c r="Q867">
        <v>3185125</v>
      </c>
      <c r="S867" t="s">
        <v>1756</v>
      </c>
      <c r="T867">
        <v>3295894</v>
      </c>
      <c r="V867" t="s">
        <v>1756</v>
      </c>
      <c r="W867">
        <v>3417939</v>
      </c>
    </row>
    <row r="868" spans="1:23" x14ac:dyDescent="0.25">
      <c r="A868" s="400" t="s">
        <v>1754</v>
      </c>
      <c r="B868">
        <v>2609686</v>
      </c>
      <c r="D868" t="s">
        <v>1757</v>
      </c>
      <c r="E868">
        <v>260993618</v>
      </c>
      <c r="G868" t="s">
        <v>1757</v>
      </c>
      <c r="H868">
        <v>270053615</v>
      </c>
      <c r="J868" t="s">
        <v>1757</v>
      </c>
      <c r="K868">
        <v>278155223</v>
      </c>
      <c r="M868" t="s">
        <v>1757</v>
      </c>
      <c r="N868">
        <v>286499880</v>
      </c>
      <c r="P868" t="s">
        <v>1757</v>
      </c>
      <c r="Q868">
        <v>295094876</v>
      </c>
      <c r="S868" t="s">
        <v>1757</v>
      </c>
      <c r="T868">
        <v>303947722</v>
      </c>
      <c r="V868" t="s">
        <v>1757</v>
      </c>
      <c r="W868">
        <v>313066154</v>
      </c>
    </row>
    <row r="869" spans="1:23" x14ac:dyDescent="0.25">
      <c r="A869" s="400" t="s">
        <v>1755</v>
      </c>
      <c r="B869">
        <v>284231</v>
      </c>
      <c r="D869" t="s">
        <v>1758</v>
      </c>
      <c r="E869">
        <v>9.1601900000000001</v>
      </c>
      <c r="G869" t="s">
        <v>1758</v>
      </c>
      <c r="H869">
        <v>10.43862</v>
      </c>
      <c r="J869" t="s">
        <v>1758</v>
      </c>
      <c r="K869">
        <v>10.64072</v>
      </c>
      <c r="M869" t="s">
        <v>1758</v>
      </c>
      <c r="N869">
        <v>10.69379</v>
      </c>
      <c r="P869" t="s">
        <v>1758</v>
      </c>
      <c r="Q869">
        <v>10.793559999999999</v>
      </c>
      <c r="S869" t="s">
        <v>1758</v>
      </c>
      <c r="T869">
        <v>10.84362</v>
      </c>
      <c r="V869" t="s">
        <v>1758</v>
      </c>
      <c r="W869">
        <v>10.917630000000001</v>
      </c>
    </row>
    <row r="870" spans="1:23" x14ac:dyDescent="0.25">
      <c r="A870" s="400" t="s">
        <v>1756</v>
      </c>
      <c r="B870">
        <v>2325455</v>
      </c>
      <c r="D870" t="s">
        <v>1759</v>
      </c>
      <c r="E870">
        <v>274934</v>
      </c>
      <c r="G870" t="s">
        <v>1759</v>
      </c>
      <c r="H870">
        <v>51705</v>
      </c>
      <c r="J870" t="s">
        <v>1759</v>
      </c>
      <c r="K870">
        <v>48172</v>
      </c>
      <c r="M870" t="s">
        <v>1759</v>
      </c>
      <c r="N870">
        <v>45417</v>
      </c>
      <c r="P870" t="s">
        <v>1759</v>
      </c>
      <c r="Q870">
        <v>39723</v>
      </c>
      <c r="S870" t="s">
        <v>1759</v>
      </c>
      <c r="T870">
        <v>33151</v>
      </c>
      <c r="V870" t="s">
        <v>1759</v>
      </c>
      <c r="W870">
        <v>28938</v>
      </c>
    </row>
    <row r="871" spans="1:23" x14ac:dyDescent="0.25">
      <c r="A871" s="400" t="s">
        <v>1757</v>
      </c>
      <c r="B871">
        <v>252046215</v>
      </c>
      <c r="D871" t="s">
        <v>1760</v>
      </c>
      <c r="E871">
        <v>260993618</v>
      </c>
      <c r="G871" t="s">
        <v>1760</v>
      </c>
      <c r="H871">
        <v>270053615</v>
      </c>
      <c r="J871" t="s">
        <v>1760</v>
      </c>
      <c r="K871">
        <v>278155223</v>
      </c>
      <c r="M871" t="s">
        <v>1760</v>
      </c>
      <c r="N871">
        <v>286499880</v>
      </c>
      <c r="P871" t="s">
        <v>1760</v>
      </c>
      <c r="Q871">
        <v>295094876</v>
      </c>
      <c r="S871" t="s">
        <v>1760</v>
      </c>
      <c r="T871">
        <v>303947722</v>
      </c>
      <c r="V871" t="s">
        <v>1760</v>
      </c>
      <c r="W871">
        <v>313066154</v>
      </c>
    </row>
    <row r="872" spans="1:23" x14ac:dyDescent="0.25">
      <c r="A872" s="400" t="s">
        <v>1758</v>
      </c>
      <c r="B872">
        <v>9.2263000000000002</v>
      </c>
      <c r="D872" t="s">
        <v>1761</v>
      </c>
      <c r="E872">
        <v>1.05341</v>
      </c>
      <c r="G872" t="s">
        <v>1761</v>
      </c>
      <c r="H872">
        <v>0.19145999999999999</v>
      </c>
      <c r="J872" t="s">
        <v>1761</v>
      </c>
      <c r="K872">
        <v>0.17318</v>
      </c>
      <c r="M872" t="s">
        <v>1761</v>
      </c>
      <c r="N872">
        <v>0.15851999999999999</v>
      </c>
      <c r="P872" t="s">
        <v>1761</v>
      </c>
      <c r="Q872">
        <v>0.13461000000000001</v>
      </c>
      <c r="S872" t="s">
        <v>1761</v>
      </c>
      <c r="T872">
        <v>0.10907</v>
      </c>
      <c r="V872" t="s">
        <v>1761</v>
      </c>
      <c r="W872">
        <v>9.2429999999999998E-2</v>
      </c>
    </row>
    <row r="873" spans="1:23" x14ac:dyDescent="0.25">
      <c r="A873" s="400" t="s">
        <v>1759</v>
      </c>
      <c r="B873">
        <v>284231</v>
      </c>
      <c r="D873" t="s">
        <v>1762</v>
      </c>
      <c r="E873">
        <v>9.1601900000000001</v>
      </c>
      <c r="G873" t="s">
        <v>1762</v>
      </c>
      <c r="H873">
        <v>10.43862</v>
      </c>
      <c r="J873" t="s">
        <v>1762</v>
      </c>
      <c r="K873">
        <v>10.64072</v>
      </c>
      <c r="M873" t="s">
        <v>1762</v>
      </c>
      <c r="N873">
        <v>10.69379</v>
      </c>
      <c r="P873" t="s">
        <v>1762</v>
      </c>
      <c r="Q873">
        <v>10.793559999999999</v>
      </c>
      <c r="S873" t="s">
        <v>1762</v>
      </c>
      <c r="T873">
        <v>10.84362</v>
      </c>
      <c r="V873" t="s">
        <v>1762</v>
      </c>
      <c r="W873">
        <v>10.917630000000001</v>
      </c>
    </row>
    <row r="874" spans="1:23" x14ac:dyDescent="0.25">
      <c r="A874" s="400" t="s">
        <v>1760</v>
      </c>
      <c r="B874">
        <v>252046215</v>
      </c>
      <c r="D874" t="s">
        <v>1763</v>
      </c>
      <c r="E874">
        <v>10.2136</v>
      </c>
      <c r="G874" t="s">
        <v>1763</v>
      </c>
      <c r="H874">
        <v>10.63008</v>
      </c>
      <c r="J874" t="s">
        <v>1763</v>
      </c>
      <c r="K874">
        <v>10.8139</v>
      </c>
      <c r="M874" t="s">
        <v>1763</v>
      </c>
      <c r="N874">
        <v>10.852309999999999</v>
      </c>
      <c r="P874" t="s">
        <v>1763</v>
      </c>
      <c r="Q874">
        <v>10.92817</v>
      </c>
      <c r="S874" t="s">
        <v>1763</v>
      </c>
      <c r="T874">
        <v>10.95269</v>
      </c>
      <c r="V874" t="s">
        <v>1763</v>
      </c>
      <c r="W874">
        <v>11.010060000000001</v>
      </c>
    </row>
    <row r="875" spans="1:23" x14ac:dyDescent="0.25">
      <c r="A875" s="400" t="s">
        <v>1761</v>
      </c>
      <c r="B875">
        <v>1.1276900000000001</v>
      </c>
      <c r="E875">
        <v>0</v>
      </c>
      <c r="H875">
        <v>0</v>
      </c>
      <c r="K875">
        <v>0</v>
      </c>
      <c r="N875">
        <v>0</v>
      </c>
      <c r="Q875">
        <v>0</v>
      </c>
      <c r="T875">
        <v>0</v>
      </c>
      <c r="W875">
        <v>0</v>
      </c>
    </row>
    <row r="876" spans="1:23" x14ac:dyDescent="0.25">
      <c r="A876" s="400" t="s">
        <v>1762</v>
      </c>
      <c r="B876">
        <v>9.2263000000000002</v>
      </c>
      <c r="E876">
        <v>0</v>
      </c>
      <c r="H876">
        <v>0</v>
      </c>
      <c r="K876">
        <v>0</v>
      </c>
      <c r="N876">
        <v>0</v>
      </c>
      <c r="Q876">
        <v>0</v>
      </c>
      <c r="T876">
        <v>0</v>
      </c>
      <c r="W876">
        <v>0</v>
      </c>
    </row>
    <row r="877" spans="1:23" x14ac:dyDescent="0.25">
      <c r="A877" s="400" t="s">
        <v>1763</v>
      </c>
      <c r="B877">
        <v>10.35399</v>
      </c>
      <c r="D877" t="s">
        <v>1764</v>
      </c>
      <c r="E877">
        <v>171567</v>
      </c>
      <c r="G877" t="s">
        <v>1764</v>
      </c>
      <c r="H877">
        <v>175008</v>
      </c>
      <c r="J877" t="s">
        <v>1764</v>
      </c>
      <c r="K877">
        <v>173593</v>
      </c>
      <c r="M877" t="s">
        <v>1764</v>
      </c>
      <c r="N877">
        <v>170847</v>
      </c>
      <c r="P877" t="s">
        <v>1764</v>
      </c>
      <c r="Q877">
        <v>168023</v>
      </c>
      <c r="S877" t="s">
        <v>1764</v>
      </c>
      <c r="T877">
        <v>166651</v>
      </c>
      <c r="V877" t="s">
        <v>1764</v>
      </c>
      <c r="W877">
        <v>166773</v>
      </c>
    </row>
    <row r="878" spans="1:23" x14ac:dyDescent="0.25">
      <c r="A878" s="400"/>
      <c r="B878">
        <v>0</v>
      </c>
      <c r="D878" t="s">
        <v>1765</v>
      </c>
      <c r="E878">
        <v>10580</v>
      </c>
      <c r="G878" t="s">
        <v>1765</v>
      </c>
      <c r="H878">
        <v>7139</v>
      </c>
      <c r="J878" t="s">
        <v>1765</v>
      </c>
      <c r="K878">
        <v>8554</v>
      </c>
      <c r="M878" t="s">
        <v>1765</v>
      </c>
      <c r="N878">
        <v>11300</v>
      </c>
      <c r="P878" t="s">
        <v>1765</v>
      </c>
      <c r="Q878">
        <v>14124</v>
      </c>
      <c r="S878" t="s">
        <v>1765</v>
      </c>
      <c r="T878">
        <v>15496</v>
      </c>
      <c r="V878" t="s">
        <v>1765</v>
      </c>
      <c r="W878">
        <v>15374</v>
      </c>
    </row>
    <row r="879" spans="1:23" x14ac:dyDescent="0.25">
      <c r="A879" s="400"/>
      <c r="B879">
        <v>0</v>
      </c>
      <c r="D879" t="s">
        <v>1766</v>
      </c>
      <c r="E879">
        <v>28529</v>
      </c>
      <c r="G879" t="s">
        <v>1766</v>
      </c>
      <c r="H879">
        <v>28192</v>
      </c>
      <c r="J879" t="s">
        <v>1766</v>
      </c>
      <c r="K879">
        <v>27870</v>
      </c>
      <c r="M879" t="s">
        <v>1766</v>
      </c>
      <c r="N879">
        <v>27314</v>
      </c>
      <c r="P879" t="s">
        <v>1766</v>
      </c>
      <c r="Q879">
        <v>26746</v>
      </c>
      <c r="S879" t="s">
        <v>1766</v>
      </c>
      <c r="T879">
        <v>26446</v>
      </c>
      <c r="V879" t="s">
        <v>1766</v>
      </c>
      <c r="W879">
        <v>26425</v>
      </c>
    </row>
    <row r="880" spans="1:23" x14ac:dyDescent="0.25">
      <c r="A880" s="400" t="s">
        <v>1764</v>
      </c>
      <c r="B880">
        <v>172635</v>
      </c>
      <c r="D880" t="s">
        <v>1767</v>
      </c>
      <c r="E880">
        <v>31550</v>
      </c>
      <c r="G880" t="s">
        <v>1767</v>
      </c>
      <c r="H880">
        <v>31175</v>
      </c>
      <c r="J880" t="s">
        <v>1767</v>
      </c>
      <c r="K880">
        <v>30815</v>
      </c>
      <c r="M880" t="s">
        <v>1767</v>
      </c>
      <c r="N880">
        <v>30201</v>
      </c>
      <c r="P880" t="s">
        <v>1767</v>
      </c>
      <c r="Q880">
        <v>29569</v>
      </c>
      <c r="S880" t="s">
        <v>1767</v>
      </c>
      <c r="T880">
        <v>29237</v>
      </c>
      <c r="V880" t="s">
        <v>1767</v>
      </c>
      <c r="W880">
        <v>29214</v>
      </c>
    </row>
    <row r="881" spans="1:23" x14ac:dyDescent="0.25">
      <c r="A881" s="400" t="s">
        <v>1765</v>
      </c>
      <c r="B881">
        <v>9512</v>
      </c>
      <c r="D881" t="s">
        <v>1768</v>
      </c>
      <c r="E881">
        <v>0</v>
      </c>
      <c r="G881" t="s">
        <v>1768</v>
      </c>
      <c r="H881">
        <v>0</v>
      </c>
      <c r="J881" t="s">
        <v>1768</v>
      </c>
      <c r="K881">
        <v>0</v>
      </c>
      <c r="M881" t="s">
        <v>1768</v>
      </c>
      <c r="N881">
        <v>0</v>
      </c>
      <c r="P881" t="s">
        <v>1768</v>
      </c>
      <c r="Q881">
        <v>0</v>
      </c>
      <c r="S881" t="s">
        <v>1768</v>
      </c>
      <c r="T881">
        <v>0</v>
      </c>
      <c r="V881" t="s">
        <v>1768</v>
      </c>
      <c r="W881">
        <v>0</v>
      </c>
    </row>
    <row r="882" spans="1:23" x14ac:dyDescent="0.25">
      <c r="A882" s="400" t="s">
        <v>1766</v>
      </c>
      <c r="B882">
        <v>28849</v>
      </c>
      <c r="D882" t="s">
        <v>1769</v>
      </c>
      <c r="E882">
        <v>17728</v>
      </c>
      <c r="G882" t="s">
        <v>1769</v>
      </c>
      <c r="H882">
        <v>17970</v>
      </c>
      <c r="J882" t="s">
        <v>1769</v>
      </c>
      <c r="K882">
        <v>17970</v>
      </c>
      <c r="M882" t="s">
        <v>1769</v>
      </c>
      <c r="N882">
        <v>17824</v>
      </c>
      <c r="P882" t="s">
        <v>1769</v>
      </c>
      <c r="Q882">
        <v>17540</v>
      </c>
      <c r="S882" t="s">
        <v>1769</v>
      </c>
      <c r="T882">
        <v>17252</v>
      </c>
      <c r="V882" t="s">
        <v>1769</v>
      </c>
      <c r="W882">
        <v>17123</v>
      </c>
    </row>
    <row r="883" spans="1:23" x14ac:dyDescent="0.25">
      <c r="A883" s="400" t="s">
        <v>1767</v>
      </c>
      <c r="B883">
        <v>31907</v>
      </c>
      <c r="D883" t="s">
        <v>1770</v>
      </c>
      <c r="E883">
        <v>1882</v>
      </c>
      <c r="G883" t="s">
        <v>1770</v>
      </c>
      <c r="H883">
        <v>1918</v>
      </c>
      <c r="J883" t="s">
        <v>1770</v>
      </c>
      <c r="K883">
        <v>1918</v>
      </c>
      <c r="M883" t="s">
        <v>1770</v>
      </c>
      <c r="N883">
        <v>1907</v>
      </c>
      <c r="P883" t="s">
        <v>1770</v>
      </c>
      <c r="Q883">
        <v>1881</v>
      </c>
      <c r="S883" t="s">
        <v>1770</v>
      </c>
      <c r="T883">
        <v>1854</v>
      </c>
      <c r="V883" t="s">
        <v>1770</v>
      </c>
      <c r="W883">
        <v>1847</v>
      </c>
    </row>
    <row r="884" spans="1:23" x14ac:dyDescent="0.25">
      <c r="A884" s="400" t="s">
        <v>1768</v>
      </c>
      <c r="B884">
        <v>0</v>
      </c>
      <c r="D884" t="s">
        <v>1771</v>
      </c>
      <c r="E884">
        <v>36254</v>
      </c>
      <c r="G884" t="s">
        <v>1771</v>
      </c>
      <c r="H884">
        <v>31091</v>
      </c>
      <c r="J884" t="s">
        <v>1771</v>
      </c>
      <c r="K884">
        <v>10440</v>
      </c>
      <c r="M884" t="s">
        <v>1771</v>
      </c>
      <c r="N884">
        <v>10440</v>
      </c>
      <c r="P884" t="s">
        <v>1771</v>
      </c>
      <c r="Q884">
        <v>10440</v>
      </c>
      <c r="S884" t="s">
        <v>1771</v>
      </c>
      <c r="T884">
        <v>10440</v>
      </c>
      <c r="V884" t="s">
        <v>1771</v>
      </c>
      <c r="W884">
        <v>10440</v>
      </c>
    </row>
    <row r="885" spans="1:23" x14ac:dyDescent="0.25">
      <c r="A885" s="400" t="s">
        <v>1769</v>
      </c>
      <c r="B885">
        <v>18580</v>
      </c>
      <c r="D885" t="s">
        <v>1772</v>
      </c>
      <c r="E885">
        <v>225582</v>
      </c>
      <c r="G885" t="s">
        <v>1772</v>
      </c>
      <c r="H885">
        <v>230311</v>
      </c>
      <c r="J885" t="s">
        <v>1772</v>
      </c>
      <c r="K885">
        <v>250280</v>
      </c>
      <c r="M885" t="s">
        <v>1772</v>
      </c>
      <c r="N885">
        <v>248953</v>
      </c>
      <c r="P885" t="s">
        <v>1772</v>
      </c>
      <c r="Q885">
        <v>247443</v>
      </c>
      <c r="S885" t="s">
        <v>1772</v>
      </c>
      <c r="T885">
        <v>246496</v>
      </c>
      <c r="V885" t="s">
        <v>1772</v>
      </c>
      <c r="W885">
        <v>246316</v>
      </c>
    </row>
    <row r="886" spans="1:23" x14ac:dyDescent="0.25">
      <c r="A886" s="400" t="s">
        <v>1770</v>
      </c>
      <c r="B886">
        <v>1972</v>
      </c>
      <c r="D886" t="s">
        <v>1773</v>
      </c>
      <c r="E886">
        <v>2708331</v>
      </c>
      <c r="G886" t="s">
        <v>1773</v>
      </c>
      <c r="H886">
        <v>2997538</v>
      </c>
      <c r="J886" t="s">
        <v>1773</v>
      </c>
      <c r="K886">
        <v>2941510</v>
      </c>
      <c r="M886" t="s">
        <v>1773</v>
      </c>
      <c r="N886">
        <v>2834488</v>
      </c>
      <c r="P886" t="s">
        <v>1773</v>
      </c>
      <c r="Q886">
        <v>2720211</v>
      </c>
      <c r="S886" t="s">
        <v>1773</v>
      </c>
      <c r="T886">
        <v>2634935</v>
      </c>
      <c r="V886" t="s">
        <v>1773</v>
      </c>
      <c r="W886">
        <v>2584471</v>
      </c>
    </row>
    <row r="887" spans="1:23" x14ac:dyDescent="0.25">
      <c r="A887" s="400" t="s">
        <v>1771</v>
      </c>
      <c r="B887">
        <v>31091</v>
      </c>
      <c r="D887" t="s">
        <v>1774</v>
      </c>
      <c r="E887">
        <v>225582</v>
      </c>
      <c r="G887" t="s">
        <v>1774</v>
      </c>
      <c r="H887">
        <v>230311</v>
      </c>
      <c r="J887" t="s">
        <v>1774</v>
      </c>
      <c r="K887">
        <v>250280</v>
      </c>
      <c r="M887" t="s">
        <v>1774</v>
      </c>
      <c r="N887">
        <v>248953</v>
      </c>
      <c r="P887" t="s">
        <v>1774</v>
      </c>
      <c r="Q887">
        <v>247443</v>
      </c>
      <c r="S887" t="s">
        <v>1774</v>
      </c>
      <c r="T887">
        <v>246496</v>
      </c>
      <c r="V887" t="s">
        <v>1774</v>
      </c>
      <c r="W887">
        <v>246316</v>
      </c>
    </row>
    <row r="888" spans="1:23" x14ac:dyDescent="0.25">
      <c r="A888" s="400" t="s">
        <v>1772</v>
      </c>
      <c r="B888">
        <v>232364</v>
      </c>
      <c r="D888" t="s">
        <v>1775</v>
      </c>
      <c r="E888">
        <v>2482749</v>
      </c>
      <c r="G888" t="s">
        <v>1775</v>
      </c>
      <c r="H888">
        <v>2767227</v>
      </c>
      <c r="J888" t="s">
        <v>1775</v>
      </c>
      <c r="K888">
        <v>2691230</v>
      </c>
      <c r="M888" t="s">
        <v>1775</v>
      </c>
      <c r="N888">
        <v>2585535</v>
      </c>
      <c r="P888" t="s">
        <v>1775</v>
      </c>
      <c r="Q888">
        <v>2472768</v>
      </c>
      <c r="S888" t="s">
        <v>1775</v>
      </c>
      <c r="T888">
        <v>2388439</v>
      </c>
      <c r="V888" t="s">
        <v>1775</v>
      </c>
      <c r="W888">
        <v>2338155</v>
      </c>
    </row>
    <row r="889" spans="1:23" x14ac:dyDescent="0.25">
      <c r="A889" s="400" t="s">
        <v>1773</v>
      </c>
      <c r="B889">
        <v>2830431</v>
      </c>
      <c r="E889">
        <v>0</v>
      </c>
      <c r="H889">
        <v>0</v>
      </c>
      <c r="K889">
        <v>0</v>
      </c>
      <c r="N889">
        <v>0</v>
      </c>
      <c r="Q889">
        <v>0</v>
      </c>
      <c r="T889">
        <v>0</v>
      </c>
      <c r="W889">
        <v>0</v>
      </c>
    </row>
    <row r="890" spans="1:23" x14ac:dyDescent="0.25">
      <c r="A890" s="400" t="s">
        <v>1774</v>
      </c>
      <c r="B890">
        <v>232364</v>
      </c>
      <c r="E890">
        <v>0</v>
      </c>
      <c r="H890">
        <v>0</v>
      </c>
      <c r="K890">
        <v>0</v>
      </c>
      <c r="N890">
        <v>0</v>
      </c>
      <c r="Q890">
        <v>0</v>
      </c>
      <c r="T890">
        <v>0</v>
      </c>
      <c r="W890">
        <v>0</v>
      </c>
    </row>
    <row r="891" spans="1:23" x14ac:dyDescent="0.25">
      <c r="A891" s="400" t="s">
        <v>1775</v>
      </c>
      <c r="B891">
        <v>2598067</v>
      </c>
      <c r="D891" t="s">
        <v>1776</v>
      </c>
      <c r="E891">
        <v>4867040</v>
      </c>
      <c r="G891" t="s">
        <v>1776</v>
      </c>
      <c r="H891">
        <v>5166519</v>
      </c>
      <c r="J891" t="s">
        <v>1776</v>
      </c>
      <c r="K891">
        <v>5186972</v>
      </c>
      <c r="M891" t="s">
        <v>1776</v>
      </c>
      <c r="N891">
        <v>5154059</v>
      </c>
      <c r="P891" t="s">
        <v>1776</v>
      </c>
      <c r="Q891">
        <v>5085251</v>
      </c>
      <c r="S891" t="s">
        <v>1776</v>
      </c>
      <c r="T891">
        <v>5010297</v>
      </c>
      <c r="V891" t="s">
        <v>1776</v>
      </c>
      <c r="W891">
        <v>4974868</v>
      </c>
    </row>
    <row r="892" spans="1:23" x14ac:dyDescent="0.25">
      <c r="A892" s="400"/>
      <c r="B892">
        <v>0</v>
      </c>
      <c r="D892" t="s">
        <v>1777</v>
      </c>
      <c r="E892">
        <v>0</v>
      </c>
      <c r="G892" t="s">
        <v>1777</v>
      </c>
      <c r="H892">
        <v>0</v>
      </c>
      <c r="J892" t="s">
        <v>1777</v>
      </c>
      <c r="K892">
        <v>0</v>
      </c>
      <c r="M892" t="s">
        <v>1777</v>
      </c>
      <c r="N892">
        <v>0</v>
      </c>
      <c r="P892" t="s">
        <v>1777</v>
      </c>
      <c r="Q892">
        <v>0</v>
      </c>
      <c r="S892" t="s">
        <v>1777</v>
      </c>
      <c r="T892">
        <v>0</v>
      </c>
      <c r="V892" t="s">
        <v>1777</v>
      </c>
      <c r="W892">
        <v>0</v>
      </c>
    </row>
    <row r="893" spans="1:23" x14ac:dyDescent="0.25">
      <c r="A893" s="400"/>
      <c r="B893">
        <v>0</v>
      </c>
      <c r="D893" t="s">
        <v>1778</v>
      </c>
      <c r="E893">
        <v>0</v>
      </c>
      <c r="G893" t="s">
        <v>1778</v>
      </c>
      <c r="H893">
        <v>0</v>
      </c>
      <c r="J893" t="s">
        <v>1778</v>
      </c>
      <c r="K893">
        <v>0</v>
      </c>
      <c r="M893" t="s">
        <v>1778</v>
      </c>
      <c r="N893">
        <v>0</v>
      </c>
      <c r="P893" t="s">
        <v>1778</v>
      </c>
      <c r="Q893">
        <v>0</v>
      </c>
      <c r="S893" t="s">
        <v>1778</v>
      </c>
      <c r="T893">
        <v>0</v>
      </c>
      <c r="V893" t="s">
        <v>1778</v>
      </c>
      <c r="W893">
        <v>0</v>
      </c>
    </row>
    <row r="894" spans="1:23" x14ac:dyDescent="0.25">
      <c r="A894" s="400" t="s">
        <v>1776</v>
      </c>
      <c r="B894">
        <v>4970300</v>
      </c>
      <c r="D894" t="s">
        <v>1779</v>
      </c>
      <c r="E894">
        <v>301560</v>
      </c>
      <c r="G894" t="s">
        <v>1779</v>
      </c>
      <c r="H894">
        <v>299591</v>
      </c>
      <c r="J894" t="s">
        <v>1779</v>
      </c>
      <c r="K894">
        <v>298537</v>
      </c>
      <c r="M894" t="s">
        <v>1779</v>
      </c>
      <c r="N894">
        <v>298286</v>
      </c>
      <c r="P894" t="s">
        <v>1779</v>
      </c>
      <c r="Q894">
        <v>295120</v>
      </c>
      <c r="S894" t="s">
        <v>1779</v>
      </c>
      <c r="T894">
        <v>291102</v>
      </c>
      <c r="V894" t="s">
        <v>1779</v>
      </c>
      <c r="W894">
        <v>289469</v>
      </c>
    </row>
    <row r="895" spans="1:23" x14ac:dyDescent="0.25">
      <c r="A895" s="400" t="s">
        <v>1777</v>
      </c>
      <c r="B895">
        <v>884271</v>
      </c>
      <c r="D895" t="s">
        <v>1780</v>
      </c>
      <c r="E895">
        <v>0</v>
      </c>
      <c r="G895" t="s">
        <v>1780</v>
      </c>
      <c r="H895">
        <v>0</v>
      </c>
      <c r="J895" t="s">
        <v>1780</v>
      </c>
      <c r="K895">
        <v>0</v>
      </c>
      <c r="M895" t="s">
        <v>1780</v>
      </c>
      <c r="N895">
        <v>0</v>
      </c>
      <c r="P895" t="s">
        <v>1780</v>
      </c>
      <c r="Q895">
        <v>0</v>
      </c>
      <c r="S895" t="s">
        <v>1780</v>
      </c>
      <c r="T895">
        <v>0</v>
      </c>
      <c r="V895" t="s">
        <v>1780</v>
      </c>
      <c r="W895">
        <v>0</v>
      </c>
    </row>
    <row r="896" spans="1:23" x14ac:dyDescent="0.25">
      <c r="A896" s="400" t="s">
        <v>1778</v>
      </c>
      <c r="B896">
        <v>0</v>
      </c>
      <c r="D896" t="s">
        <v>1781</v>
      </c>
      <c r="E896">
        <v>62615</v>
      </c>
      <c r="G896" t="s">
        <v>1781</v>
      </c>
      <c r="H896">
        <v>79968</v>
      </c>
      <c r="J896" t="s">
        <v>1781</v>
      </c>
      <c r="K896">
        <v>80772</v>
      </c>
      <c r="M896" t="s">
        <v>1781</v>
      </c>
      <c r="N896">
        <v>81576</v>
      </c>
      <c r="P896" t="s">
        <v>1781</v>
      </c>
      <c r="Q896">
        <v>82392</v>
      </c>
      <c r="S896" t="s">
        <v>1781</v>
      </c>
      <c r="T896">
        <v>83220</v>
      </c>
      <c r="V896" t="s">
        <v>1781</v>
      </c>
      <c r="W896">
        <v>84048</v>
      </c>
    </row>
    <row r="897" spans="1:23" x14ac:dyDescent="0.25">
      <c r="A897" s="400" t="s">
        <v>1779</v>
      </c>
      <c r="B897">
        <v>310907</v>
      </c>
      <c r="D897" t="s">
        <v>1782</v>
      </c>
      <c r="E897">
        <v>0</v>
      </c>
      <c r="G897" t="s">
        <v>1782</v>
      </c>
      <c r="H897">
        <v>0</v>
      </c>
      <c r="J897" t="s">
        <v>1782</v>
      </c>
      <c r="K897">
        <v>0</v>
      </c>
      <c r="M897" t="s">
        <v>1782</v>
      </c>
      <c r="N897">
        <v>0</v>
      </c>
      <c r="P897" t="s">
        <v>1782</v>
      </c>
      <c r="Q897">
        <v>0</v>
      </c>
      <c r="S897" t="s">
        <v>1782</v>
      </c>
      <c r="T897">
        <v>0</v>
      </c>
      <c r="V897" t="s">
        <v>1782</v>
      </c>
      <c r="W897">
        <v>0</v>
      </c>
    </row>
    <row r="898" spans="1:23" x14ac:dyDescent="0.25">
      <c r="A898" s="400" t="s">
        <v>1780</v>
      </c>
      <c r="B898">
        <v>0</v>
      </c>
      <c r="D898" t="s">
        <v>1783</v>
      </c>
      <c r="E898">
        <v>0</v>
      </c>
      <c r="G898" t="s">
        <v>1783</v>
      </c>
      <c r="H898">
        <v>0</v>
      </c>
      <c r="J898" t="s">
        <v>1783</v>
      </c>
      <c r="K898">
        <v>0</v>
      </c>
      <c r="M898" t="s">
        <v>1783</v>
      </c>
      <c r="N898">
        <v>0</v>
      </c>
      <c r="P898" t="s">
        <v>1783</v>
      </c>
      <c r="Q898">
        <v>0</v>
      </c>
      <c r="S898" t="s">
        <v>1783</v>
      </c>
      <c r="T898">
        <v>0</v>
      </c>
      <c r="V898" t="s">
        <v>1783</v>
      </c>
      <c r="W898">
        <v>0</v>
      </c>
    </row>
    <row r="899" spans="1:23" x14ac:dyDescent="0.25">
      <c r="A899" s="400" t="s">
        <v>1781</v>
      </c>
      <c r="B899">
        <v>103136</v>
      </c>
      <c r="D899" t="s">
        <v>1784</v>
      </c>
      <c r="E899">
        <v>0</v>
      </c>
      <c r="G899" t="s">
        <v>1784</v>
      </c>
      <c r="H899">
        <v>5546078</v>
      </c>
      <c r="J899" t="s">
        <v>1784</v>
      </c>
      <c r="K899">
        <v>5566281</v>
      </c>
      <c r="M899" t="s">
        <v>1784</v>
      </c>
      <c r="N899">
        <v>5533921</v>
      </c>
      <c r="P899" t="s">
        <v>1784</v>
      </c>
      <c r="Q899">
        <v>5462763</v>
      </c>
      <c r="S899" t="s">
        <v>1784</v>
      </c>
      <c r="T899">
        <v>5384619</v>
      </c>
      <c r="V899" t="s">
        <v>1784</v>
      </c>
      <c r="W899">
        <v>5348385</v>
      </c>
    </row>
    <row r="900" spans="1:23" x14ac:dyDescent="0.25">
      <c r="A900" s="400" t="s">
        <v>1782</v>
      </c>
      <c r="B900">
        <v>0</v>
      </c>
      <c r="E900">
        <v>0</v>
      </c>
      <c r="H900">
        <v>0</v>
      </c>
      <c r="K900">
        <v>0</v>
      </c>
      <c r="N900">
        <v>0</v>
      </c>
      <c r="Q900">
        <v>0</v>
      </c>
      <c r="T900">
        <v>0</v>
      </c>
      <c r="W900">
        <v>0</v>
      </c>
    </row>
    <row r="901" spans="1:23" x14ac:dyDescent="0.25">
      <c r="A901" s="400" t="s">
        <v>1783</v>
      </c>
      <c r="B901">
        <v>684860</v>
      </c>
      <c r="E901">
        <v>0</v>
      </c>
      <c r="H901">
        <v>0</v>
      </c>
      <c r="K901">
        <v>0</v>
      </c>
      <c r="N901">
        <v>0</v>
      </c>
      <c r="Q901">
        <v>0</v>
      </c>
      <c r="T901">
        <v>0</v>
      </c>
      <c r="W901">
        <v>0</v>
      </c>
    </row>
    <row r="902" spans="1:23" x14ac:dyDescent="0.25">
      <c r="A902" s="400" t="s">
        <v>1784</v>
      </c>
      <c r="B902">
        <v>0</v>
      </c>
      <c r="D902" t="s">
        <v>1785</v>
      </c>
      <c r="E902">
        <v>0</v>
      </c>
      <c r="G902" t="s">
        <v>1785</v>
      </c>
      <c r="H902">
        <v>0</v>
      </c>
      <c r="J902" t="s">
        <v>1785</v>
      </c>
      <c r="K902">
        <v>0</v>
      </c>
      <c r="M902" t="s">
        <v>1785</v>
      </c>
      <c r="N902">
        <v>0</v>
      </c>
      <c r="P902" t="s">
        <v>1785</v>
      </c>
      <c r="Q902">
        <v>0</v>
      </c>
      <c r="S902" t="s">
        <v>1785</v>
      </c>
      <c r="T902">
        <v>0</v>
      </c>
      <c r="V902" t="s">
        <v>1785</v>
      </c>
      <c r="W902">
        <v>0</v>
      </c>
    </row>
    <row r="903" spans="1:23" x14ac:dyDescent="0.25">
      <c r="A903" s="400"/>
      <c r="B903">
        <v>0</v>
      </c>
      <c r="D903" t="s">
        <v>1786</v>
      </c>
      <c r="E903">
        <v>0</v>
      </c>
      <c r="G903" t="s">
        <v>1786</v>
      </c>
      <c r="H903">
        <v>0</v>
      </c>
      <c r="J903" t="s">
        <v>1786</v>
      </c>
      <c r="K903">
        <v>0</v>
      </c>
      <c r="M903" t="s">
        <v>1786</v>
      </c>
      <c r="N903">
        <v>0</v>
      </c>
      <c r="P903" t="s">
        <v>1786</v>
      </c>
      <c r="Q903">
        <v>0</v>
      </c>
      <c r="S903" t="s">
        <v>1786</v>
      </c>
      <c r="T903">
        <v>0</v>
      </c>
      <c r="V903" t="s">
        <v>1786</v>
      </c>
      <c r="W903">
        <v>0</v>
      </c>
    </row>
    <row r="904" spans="1:23" x14ac:dyDescent="0.25">
      <c r="A904" s="400"/>
      <c r="B904">
        <v>0</v>
      </c>
      <c r="D904" t="s">
        <v>1787</v>
      </c>
      <c r="E904">
        <v>2489051</v>
      </c>
      <c r="G904" t="s">
        <v>1787</v>
      </c>
      <c r="H904">
        <v>2291135</v>
      </c>
      <c r="J904" t="s">
        <v>1787</v>
      </c>
      <c r="K904">
        <v>2366827</v>
      </c>
      <c r="M904" t="s">
        <v>1787</v>
      </c>
      <c r="N904">
        <v>2439003</v>
      </c>
      <c r="P904" t="s">
        <v>1787</v>
      </c>
      <c r="Q904">
        <v>2479747</v>
      </c>
      <c r="S904" t="s">
        <v>1787</v>
      </c>
      <c r="T904">
        <v>2484509</v>
      </c>
      <c r="V904" t="s">
        <v>1787</v>
      </c>
      <c r="W904">
        <v>2496134</v>
      </c>
    </row>
    <row r="905" spans="1:23" x14ac:dyDescent="0.25">
      <c r="A905" s="400" t="s">
        <v>1785</v>
      </c>
      <c r="B905">
        <v>884271</v>
      </c>
      <c r="D905" t="s">
        <v>1788</v>
      </c>
      <c r="E905">
        <v>2708331</v>
      </c>
      <c r="G905" t="s">
        <v>1788</v>
      </c>
      <c r="H905">
        <v>2997538</v>
      </c>
      <c r="J905" t="s">
        <v>1788</v>
      </c>
      <c r="K905">
        <v>2941510</v>
      </c>
      <c r="M905" t="s">
        <v>1788</v>
      </c>
      <c r="N905">
        <v>2834488</v>
      </c>
      <c r="P905" t="s">
        <v>1788</v>
      </c>
      <c r="Q905">
        <v>2720211</v>
      </c>
      <c r="S905" t="s">
        <v>1788</v>
      </c>
      <c r="T905">
        <v>2634935</v>
      </c>
      <c r="V905" t="s">
        <v>1788</v>
      </c>
      <c r="W905">
        <v>2584471</v>
      </c>
    </row>
    <row r="906" spans="1:23" x14ac:dyDescent="0.25">
      <c r="A906" s="400" t="s">
        <v>1786</v>
      </c>
      <c r="B906">
        <v>0</v>
      </c>
      <c r="D906" t="s">
        <v>1789</v>
      </c>
      <c r="E906">
        <v>0</v>
      </c>
      <c r="G906" t="s">
        <v>1789</v>
      </c>
      <c r="H906">
        <v>0</v>
      </c>
      <c r="J906" t="s">
        <v>1789</v>
      </c>
      <c r="K906">
        <v>0</v>
      </c>
      <c r="M906" t="s">
        <v>1789</v>
      </c>
      <c r="N906">
        <v>0</v>
      </c>
      <c r="P906" t="s">
        <v>1789</v>
      </c>
      <c r="Q906">
        <v>0</v>
      </c>
      <c r="S906" t="s">
        <v>1789</v>
      </c>
      <c r="T906">
        <v>0</v>
      </c>
      <c r="V906" t="s">
        <v>1789</v>
      </c>
      <c r="W906">
        <v>0</v>
      </c>
    </row>
    <row r="907" spans="1:23" x14ac:dyDescent="0.25">
      <c r="A907" s="400" t="s">
        <v>1787</v>
      </c>
      <c r="B907">
        <v>2516742</v>
      </c>
      <c r="D907" t="s">
        <v>1790</v>
      </c>
      <c r="E907">
        <v>26626</v>
      </c>
      <c r="G907" t="s">
        <v>1790</v>
      </c>
      <c r="H907">
        <v>247886</v>
      </c>
      <c r="J907" t="s">
        <v>1790</v>
      </c>
      <c r="K907">
        <v>250365</v>
      </c>
      <c r="M907" t="s">
        <v>1790</v>
      </c>
      <c r="N907">
        <v>252869</v>
      </c>
      <c r="P907" t="s">
        <v>1790</v>
      </c>
      <c r="Q907">
        <v>255397</v>
      </c>
      <c r="S907" t="s">
        <v>1790</v>
      </c>
      <c r="T907">
        <v>257951</v>
      </c>
      <c r="V907" t="s">
        <v>1790</v>
      </c>
      <c r="W907">
        <v>260531</v>
      </c>
    </row>
    <row r="908" spans="1:23" x14ac:dyDescent="0.25">
      <c r="A908" s="400" t="s">
        <v>1788</v>
      </c>
      <c r="B908">
        <v>2830431</v>
      </c>
      <c r="D908" t="s">
        <v>1791</v>
      </c>
      <c r="E908">
        <v>0</v>
      </c>
      <c r="G908" t="s">
        <v>1791</v>
      </c>
      <c r="H908">
        <v>0</v>
      </c>
      <c r="J908" t="s">
        <v>1791</v>
      </c>
      <c r="K908">
        <v>0</v>
      </c>
      <c r="M908" t="s">
        <v>1791</v>
      </c>
      <c r="N908">
        <v>0</v>
      </c>
      <c r="P908" t="s">
        <v>1791</v>
      </c>
      <c r="Q908">
        <v>0</v>
      </c>
      <c r="S908" t="s">
        <v>1791</v>
      </c>
      <c r="T908">
        <v>0</v>
      </c>
      <c r="V908" t="s">
        <v>1791</v>
      </c>
      <c r="W908">
        <v>0</v>
      </c>
    </row>
    <row r="909" spans="1:23" x14ac:dyDescent="0.25">
      <c r="A909" s="400" t="s">
        <v>1789</v>
      </c>
      <c r="B909">
        <v>0</v>
      </c>
      <c r="D909" t="s">
        <v>1792</v>
      </c>
      <c r="E909">
        <v>8294</v>
      </c>
      <c r="G909" t="s">
        <v>1792</v>
      </c>
      <c r="H909">
        <v>11797</v>
      </c>
      <c r="J909" t="s">
        <v>1792</v>
      </c>
      <c r="K909">
        <v>9857</v>
      </c>
      <c r="M909" t="s">
        <v>1792</v>
      </c>
      <c r="N909">
        <v>9839</v>
      </c>
      <c r="P909" t="s">
        <v>1792</v>
      </c>
      <c r="Q909">
        <v>9686</v>
      </c>
      <c r="S909" t="s">
        <v>1792</v>
      </c>
      <c r="T909">
        <v>9502</v>
      </c>
      <c r="V909" t="s">
        <v>1792</v>
      </c>
      <c r="W909">
        <v>9527</v>
      </c>
    </row>
    <row r="910" spans="1:23" x14ac:dyDescent="0.25">
      <c r="A910" s="400" t="s">
        <v>1790</v>
      </c>
      <c r="B910">
        <v>26676</v>
      </c>
      <c r="D910" t="s">
        <v>1793</v>
      </c>
      <c r="E910">
        <v>-1087</v>
      </c>
      <c r="G910" t="s">
        <v>1793</v>
      </c>
      <c r="H910">
        <v>-2278</v>
      </c>
      <c r="J910" t="s">
        <v>1793</v>
      </c>
      <c r="K910">
        <v>-2278</v>
      </c>
      <c r="M910" t="s">
        <v>1793</v>
      </c>
      <c r="N910">
        <v>-2278</v>
      </c>
      <c r="P910" t="s">
        <v>1793</v>
      </c>
      <c r="Q910">
        <v>-2278</v>
      </c>
      <c r="S910" t="s">
        <v>1793</v>
      </c>
      <c r="T910">
        <v>-2278</v>
      </c>
      <c r="V910" t="s">
        <v>1793</v>
      </c>
      <c r="W910">
        <v>-2278</v>
      </c>
    </row>
    <row r="911" spans="1:23" x14ac:dyDescent="0.25">
      <c r="A911" s="400" t="s">
        <v>1791</v>
      </c>
      <c r="B911">
        <v>0</v>
      </c>
      <c r="D911" t="s">
        <v>1794</v>
      </c>
      <c r="E911">
        <v>0</v>
      </c>
      <c r="G911" t="s">
        <v>1794</v>
      </c>
      <c r="H911">
        <v>0</v>
      </c>
      <c r="J911" t="s">
        <v>1794</v>
      </c>
      <c r="K911">
        <v>0</v>
      </c>
      <c r="M911" t="s">
        <v>1794</v>
      </c>
      <c r="N911">
        <v>0</v>
      </c>
      <c r="P911" t="s">
        <v>1794</v>
      </c>
      <c r="Q911">
        <v>0</v>
      </c>
      <c r="S911" t="s">
        <v>1794</v>
      </c>
      <c r="T911">
        <v>0</v>
      </c>
      <c r="V911" t="s">
        <v>1794</v>
      </c>
      <c r="W911">
        <v>0</v>
      </c>
    </row>
    <row r="912" spans="1:23" x14ac:dyDescent="0.25">
      <c r="A912" s="400" t="s">
        <v>1792</v>
      </c>
      <c r="B912">
        <v>10472</v>
      </c>
      <c r="D912" t="s">
        <v>1795</v>
      </c>
      <c r="E912">
        <v>0</v>
      </c>
      <c r="G912" t="s">
        <v>1795</v>
      </c>
      <c r="H912">
        <v>5546078</v>
      </c>
      <c r="J912" t="s">
        <v>1795</v>
      </c>
      <c r="K912">
        <v>5566281</v>
      </c>
      <c r="M912" t="s">
        <v>1795</v>
      </c>
      <c r="N912">
        <v>5533921</v>
      </c>
      <c r="P912" t="s">
        <v>1795</v>
      </c>
      <c r="Q912">
        <v>5462763</v>
      </c>
      <c r="S912" t="s">
        <v>1795</v>
      </c>
      <c r="T912">
        <v>5384619</v>
      </c>
      <c r="V912" t="s">
        <v>1795</v>
      </c>
      <c r="W912">
        <v>5348385</v>
      </c>
    </row>
    <row r="913" spans="1:23" x14ac:dyDescent="0.25">
      <c r="A913" s="400" t="s">
        <v>1793</v>
      </c>
      <c r="B913">
        <v>22</v>
      </c>
      <c r="E913">
        <v>0</v>
      </c>
      <c r="H913">
        <v>0</v>
      </c>
      <c r="K913">
        <v>0</v>
      </c>
      <c r="N913">
        <v>0</v>
      </c>
      <c r="Q913">
        <v>0</v>
      </c>
      <c r="T913">
        <v>0</v>
      </c>
      <c r="W913">
        <v>0</v>
      </c>
    </row>
    <row r="914" spans="1:23" x14ac:dyDescent="0.25">
      <c r="A914" s="400" t="s">
        <v>1794</v>
      </c>
      <c r="B914">
        <v>684860</v>
      </c>
      <c r="E914">
        <v>0</v>
      </c>
      <c r="H914">
        <v>0</v>
      </c>
      <c r="K914">
        <v>0</v>
      </c>
      <c r="N914">
        <v>0</v>
      </c>
      <c r="Q914">
        <v>0</v>
      </c>
      <c r="T914">
        <v>0</v>
      </c>
      <c r="W914">
        <v>0</v>
      </c>
    </row>
    <row r="915" spans="1:23" x14ac:dyDescent="0.25">
      <c r="A915" s="400" t="s">
        <v>1795</v>
      </c>
      <c r="B915">
        <v>0</v>
      </c>
      <c r="D915" t="s">
        <v>1796</v>
      </c>
      <c r="E915">
        <v>260993618</v>
      </c>
      <c r="G915" t="s">
        <v>1796</v>
      </c>
      <c r="H915">
        <v>270053615</v>
      </c>
      <c r="J915" t="s">
        <v>1796</v>
      </c>
      <c r="K915">
        <v>278155223</v>
      </c>
      <c r="M915" t="s">
        <v>1796</v>
      </c>
      <c r="N915">
        <v>286499880</v>
      </c>
      <c r="P915" t="s">
        <v>1796</v>
      </c>
      <c r="Q915">
        <v>295094876</v>
      </c>
      <c r="S915" t="s">
        <v>1796</v>
      </c>
      <c r="T915">
        <v>303947722</v>
      </c>
      <c r="V915" t="s">
        <v>1796</v>
      </c>
      <c r="W915">
        <v>313066154</v>
      </c>
    </row>
    <row r="916" spans="1:23" x14ac:dyDescent="0.25">
      <c r="A916" s="400"/>
      <c r="B916">
        <v>0</v>
      </c>
      <c r="D916" t="s">
        <v>1797</v>
      </c>
      <c r="E916">
        <v>0</v>
      </c>
      <c r="G916" t="s">
        <v>1797</v>
      </c>
      <c r="H916">
        <v>0</v>
      </c>
      <c r="J916" t="s">
        <v>1797</v>
      </c>
      <c r="K916">
        <v>0</v>
      </c>
      <c r="M916" t="s">
        <v>1797</v>
      </c>
      <c r="N916">
        <v>0</v>
      </c>
      <c r="P916" t="s">
        <v>1797</v>
      </c>
      <c r="Q916">
        <v>0</v>
      </c>
      <c r="S916" t="s">
        <v>1797</v>
      </c>
      <c r="T916">
        <v>0</v>
      </c>
      <c r="V916" t="s">
        <v>1797</v>
      </c>
      <c r="W916">
        <v>0</v>
      </c>
    </row>
    <row r="917" spans="1:23" x14ac:dyDescent="0.25">
      <c r="A917" s="400"/>
      <c r="B917">
        <v>0</v>
      </c>
      <c r="D917" t="s">
        <v>1798</v>
      </c>
      <c r="E917">
        <v>0</v>
      </c>
      <c r="G917" t="s">
        <v>1798</v>
      </c>
      <c r="H917">
        <v>0</v>
      </c>
      <c r="J917" t="s">
        <v>1798</v>
      </c>
      <c r="K917">
        <v>0</v>
      </c>
      <c r="M917" t="s">
        <v>1798</v>
      </c>
      <c r="N917">
        <v>0</v>
      </c>
      <c r="P917" t="s">
        <v>1798</v>
      </c>
      <c r="Q917">
        <v>0</v>
      </c>
      <c r="S917" t="s">
        <v>1798</v>
      </c>
      <c r="T917">
        <v>0</v>
      </c>
      <c r="V917" t="s">
        <v>1798</v>
      </c>
      <c r="W917">
        <v>0</v>
      </c>
    </row>
    <row r="918" spans="1:23" x14ac:dyDescent="0.25">
      <c r="A918" s="400" t="s">
        <v>1796</v>
      </c>
      <c r="B918">
        <v>252046215</v>
      </c>
      <c r="D918" t="s">
        <v>1799</v>
      </c>
      <c r="E918">
        <v>0</v>
      </c>
      <c r="G918" t="s">
        <v>1799</v>
      </c>
      <c r="H918">
        <v>0</v>
      </c>
      <c r="J918" t="s">
        <v>1799</v>
      </c>
      <c r="K918">
        <v>0</v>
      </c>
      <c r="M918" t="s">
        <v>1799</v>
      </c>
      <c r="N918">
        <v>0</v>
      </c>
      <c r="P918" t="s">
        <v>1799</v>
      </c>
      <c r="Q918">
        <v>0</v>
      </c>
      <c r="S918" t="s">
        <v>1799</v>
      </c>
      <c r="T918">
        <v>0</v>
      </c>
      <c r="V918" t="s">
        <v>1799</v>
      </c>
      <c r="W918">
        <v>0</v>
      </c>
    </row>
    <row r="919" spans="1:23" x14ac:dyDescent="0.25">
      <c r="A919" s="400" t="s">
        <v>1797</v>
      </c>
      <c r="B919">
        <v>0</v>
      </c>
      <c r="D919" t="s">
        <v>1800</v>
      </c>
      <c r="E919">
        <v>2662620</v>
      </c>
      <c r="G919" t="s">
        <v>1800</v>
      </c>
      <c r="H919">
        <v>2754289</v>
      </c>
      <c r="J919" t="s">
        <v>1800</v>
      </c>
      <c r="K919">
        <v>2781832</v>
      </c>
      <c r="M919" t="s">
        <v>1800</v>
      </c>
      <c r="N919">
        <v>2809650</v>
      </c>
      <c r="P919" t="s">
        <v>1800</v>
      </c>
      <c r="Q919">
        <v>2837747</v>
      </c>
      <c r="S919" t="s">
        <v>1800</v>
      </c>
      <c r="T919">
        <v>2866124</v>
      </c>
      <c r="V919" t="s">
        <v>1800</v>
      </c>
      <c r="W919">
        <v>2894785</v>
      </c>
    </row>
    <row r="920" spans="1:23" x14ac:dyDescent="0.25">
      <c r="A920" s="400" t="s">
        <v>1798</v>
      </c>
      <c r="B920">
        <v>0</v>
      </c>
      <c r="D920" t="s">
        <v>1801</v>
      </c>
      <c r="E920">
        <v>0</v>
      </c>
      <c r="G920" t="s">
        <v>1801</v>
      </c>
      <c r="H920">
        <v>0</v>
      </c>
      <c r="J920" t="s">
        <v>1801</v>
      </c>
      <c r="K920">
        <v>0</v>
      </c>
      <c r="M920" t="s">
        <v>1801</v>
      </c>
      <c r="N920">
        <v>0</v>
      </c>
      <c r="P920" t="s">
        <v>1801</v>
      </c>
      <c r="Q920">
        <v>0</v>
      </c>
      <c r="S920" t="s">
        <v>1801</v>
      </c>
      <c r="T920">
        <v>0</v>
      </c>
      <c r="V920" t="s">
        <v>1801</v>
      </c>
      <c r="W920">
        <v>0</v>
      </c>
    </row>
    <row r="921" spans="1:23" x14ac:dyDescent="0.25">
      <c r="A921" s="400" t="s">
        <v>1799</v>
      </c>
      <c r="B921">
        <v>0</v>
      </c>
      <c r="D921" t="s">
        <v>1802</v>
      </c>
      <c r="E921">
        <v>0</v>
      </c>
      <c r="G921" t="s">
        <v>1802</v>
      </c>
      <c r="H921">
        <v>0</v>
      </c>
      <c r="J921" t="s">
        <v>1802</v>
      </c>
      <c r="K921">
        <v>0</v>
      </c>
      <c r="M921" t="s">
        <v>1802</v>
      </c>
      <c r="N921">
        <v>0</v>
      </c>
      <c r="P921" t="s">
        <v>1802</v>
      </c>
      <c r="Q921">
        <v>0</v>
      </c>
      <c r="S921" t="s">
        <v>1802</v>
      </c>
      <c r="T921">
        <v>0</v>
      </c>
      <c r="V921" t="s">
        <v>1802</v>
      </c>
      <c r="W921">
        <v>0</v>
      </c>
    </row>
    <row r="922" spans="1:23" x14ac:dyDescent="0.25">
      <c r="A922" s="400" t="s">
        <v>1800</v>
      </c>
      <c r="B922">
        <v>2667587</v>
      </c>
      <c r="D922" t="s">
        <v>1803</v>
      </c>
      <c r="E922">
        <v>0</v>
      </c>
      <c r="G922" t="s">
        <v>1803</v>
      </c>
      <c r="H922">
        <v>0</v>
      </c>
      <c r="J922" t="s">
        <v>1803</v>
      </c>
      <c r="K922">
        <v>0</v>
      </c>
      <c r="M922" t="s">
        <v>1803</v>
      </c>
      <c r="N922">
        <v>0</v>
      </c>
      <c r="P922" t="s">
        <v>1803</v>
      </c>
      <c r="Q922">
        <v>0</v>
      </c>
      <c r="S922" t="s">
        <v>1803</v>
      </c>
      <c r="T922">
        <v>0</v>
      </c>
      <c r="V922" t="s">
        <v>1803</v>
      </c>
      <c r="W922">
        <v>0</v>
      </c>
    </row>
    <row r="923" spans="1:23" x14ac:dyDescent="0.25">
      <c r="A923" s="400" t="s">
        <v>1801</v>
      </c>
      <c r="B923">
        <v>0</v>
      </c>
      <c r="D923" t="s">
        <v>1804</v>
      </c>
      <c r="E923">
        <v>0</v>
      </c>
      <c r="G923" t="s">
        <v>1804</v>
      </c>
      <c r="H923">
        <v>0</v>
      </c>
      <c r="J923" t="s">
        <v>1804</v>
      </c>
      <c r="K923">
        <v>0</v>
      </c>
      <c r="M923" t="s">
        <v>1804</v>
      </c>
      <c r="N923">
        <v>0</v>
      </c>
      <c r="P923" t="s">
        <v>1804</v>
      </c>
      <c r="Q923">
        <v>0</v>
      </c>
      <c r="S923" t="s">
        <v>1804</v>
      </c>
      <c r="T923">
        <v>0</v>
      </c>
      <c r="V923" t="s">
        <v>1804</v>
      </c>
      <c r="W923">
        <v>0</v>
      </c>
    </row>
    <row r="924" spans="1:23" x14ac:dyDescent="0.25">
      <c r="A924" s="400" t="s">
        <v>1802</v>
      </c>
      <c r="B924">
        <v>0</v>
      </c>
      <c r="E924">
        <v>0</v>
      </c>
      <c r="H924">
        <v>0</v>
      </c>
      <c r="K924">
        <v>0</v>
      </c>
      <c r="N924">
        <v>0</v>
      </c>
      <c r="Q924">
        <v>0</v>
      </c>
      <c r="T924">
        <v>0</v>
      </c>
      <c r="W924">
        <v>0</v>
      </c>
    </row>
    <row r="925" spans="1:23" x14ac:dyDescent="0.25">
      <c r="A925" s="400" t="s">
        <v>1803</v>
      </c>
      <c r="B925">
        <v>0</v>
      </c>
      <c r="E925">
        <v>0</v>
      </c>
      <c r="H925">
        <v>0</v>
      </c>
      <c r="K925">
        <v>0</v>
      </c>
      <c r="N925">
        <v>0</v>
      </c>
      <c r="Q925">
        <v>0</v>
      </c>
      <c r="T925">
        <v>0</v>
      </c>
      <c r="W925">
        <v>0</v>
      </c>
    </row>
    <row r="926" spans="1:23" x14ac:dyDescent="0.25">
      <c r="A926" s="400" t="s">
        <v>1804</v>
      </c>
      <c r="B926">
        <v>0</v>
      </c>
      <c r="D926" t="s">
        <v>1805</v>
      </c>
      <c r="E926">
        <v>0.01</v>
      </c>
      <c r="G926" t="s">
        <v>1805</v>
      </c>
      <c r="H926">
        <v>0.09</v>
      </c>
      <c r="J926" t="s">
        <v>1805</v>
      </c>
      <c r="K926">
        <v>0.09</v>
      </c>
      <c r="M926" t="s">
        <v>1805</v>
      </c>
      <c r="N926">
        <v>0.09</v>
      </c>
      <c r="P926" t="s">
        <v>1805</v>
      </c>
      <c r="Q926">
        <v>0.09</v>
      </c>
      <c r="S926" t="s">
        <v>1805</v>
      </c>
      <c r="T926">
        <v>0.09</v>
      </c>
      <c r="V926" t="s">
        <v>1805</v>
      </c>
      <c r="W926">
        <v>0.09</v>
      </c>
    </row>
    <row r="927" spans="1:23" x14ac:dyDescent="0.25">
      <c r="A927" s="400"/>
      <c r="B927">
        <v>0</v>
      </c>
      <c r="D927" t="s">
        <v>1806</v>
      </c>
      <c r="E927">
        <v>0</v>
      </c>
      <c r="G927" t="s">
        <v>1806</v>
      </c>
      <c r="H927">
        <v>0</v>
      </c>
      <c r="J927" t="s">
        <v>1806</v>
      </c>
      <c r="K927">
        <v>0</v>
      </c>
      <c r="M927" t="s">
        <v>1806</v>
      </c>
      <c r="N927">
        <v>0</v>
      </c>
      <c r="P927" t="s">
        <v>1806</v>
      </c>
      <c r="Q927">
        <v>0</v>
      </c>
      <c r="S927" t="s">
        <v>1806</v>
      </c>
      <c r="T927">
        <v>0</v>
      </c>
      <c r="V927" t="s">
        <v>1806</v>
      </c>
      <c r="W927">
        <v>0</v>
      </c>
    </row>
    <row r="928" spans="1:23" x14ac:dyDescent="0.25">
      <c r="A928" s="400"/>
      <c r="B928">
        <v>0</v>
      </c>
      <c r="D928" t="s">
        <v>1807</v>
      </c>
      <c r="E928">
        <v>0</v>
      </c>
      <c r="G928" t="s">
        <v>1807</v>
      </c>
      <c r="H928">
        <v>0</v>
      </c>
      <c r="J928" t="s">
        <v>1807</v>
      </c>
      <c r="K928">
        <v>0</v>
      </c>
      <c r="M928" t="s">
        <v>1807</v>
      </c>
      <c r="N928">
        <v>0</v>
      </c>
      <c r="P928" t="s">
        <v>1807</v>
      </c>
      <c r="Q928">
        <v>0</v>
      </c>
      <c r="S928" t="s">
        <v>1807</v>
      </c>
      <c r="T928">
        <v>0</v>
      </c>
      <c r="V928" t="s">
        <v>1807</v>
      </c>
      <c r="W928">
        <v>0</v>
      </c>
    </row>
    <row r="929" spans="1:23" x14ac:dyDescent="0.25">
      <c r="A929" s="400" t="s">
        <v>1805</v>
      </c>
      <c r="B929">
        <v>0.01</v>
      </c>
      <c r="D929" t="s">
        <v>1808</v>
      </c>
      <c r="E929">
        <v>0</v>
      </c>
      <c r="G929" t="s">
        <v>1808</v>
      </c>
      <c r="H929">
        <v>0</v>
      </c>
      <c r="J929" t="s">
        <v>1808</v>
      </c>
      <c r="K929">
        <v>0</v>
      </c>
      <c r="M929" t="s">
        <v>1808</v>
      </c>
      <c r="N929">
        <v>0</v>
      </c>
      <c r="P929" t="s">
        <v>1808</v>
      </c>
      <c r="Q929">
        <v>0</v>
      </c>
      <c r="S929" t="s">
        <v>1808</v>
      </c>
      <c r="T929">
        <v>0</v>
      </c>
      <c r="V929" t="s">
        <v>1808</v>
      </c>
      <c r="W929">
        <v>0</v>
      </c>
    </row>
    <row r="930" spans="1:23" x14ac:dyDescent="0.25">
      <c r="A930" s="400" t="s">
        <v>1806</v>
      </c>
      <c r="B930">
        <v>0</v>
      </c>
      <c r="D930" t="s">
        <v>1809</v>
      </c>
      <c r="E930">
        <v>0</v>
      </c>
      <c r="G930" t="s">
        <v>1809</v>
      </c>
      <c r="H930">
        <v>0</v>
      </c>
      <c r="J930" t="s">
        <v>1809</v>
      </c>
      <c r="K930">
        <v>0</v>
      </c>
      <c r="M930" t="s">
        <v>1809</v>
      </c>
      <c r="N930">
        <v>0</v>
      </c>
      <c r="P930" t="s">
        <v>1809</v>
      </c>
      <c r="Q930">
        <v>0</v>
      </c>
      <c r="S930" t="s">
        <v>1809</v>
      </c>
      <c r="T930">
        <v>0</v>
      </c>
      <c r="V930" t="s">
        <v>1809</v>
      </c>
      <c r="W930">
        <v>0</v>
      </c>
    </row>
    <row r="931" spans="1:23" x14ac:dyDescent="0.25">
      <c r="A931" s="400" t="s">
        <v>1807</v>
      </c>
      <c r="B931">
        <v>0</v>
      </c>
      <c r="D931" t="s">
        <v>1810</v>
      </c>
      <c r="E931">
        <v>0.01</v>
      </c>
      <c r="G931" t="s">
        <v>1810</v>
      </c>
      <c r="H931">
        <v>0.09</v>
      </c>
      <c r="J931" t="s">
        <v>1810</v>
      </c>
      <c r="K931">
        <v>0.09</v>
      </c>
      <c r="M931" t="s">
        <v>1810</v>
      </c>
      <c r="N931">
        <v>0.09</v>
      </c>
      <c r="P931" t="s">
        <v>1810</v>
      </c>
      <c r="Q931">
        <v>0.09</v>
      </c>
      <c r="S931" t="s">
        <v>1810</v>
      </c>
      <c r="T931">
        <v>0.09</v>
      </c>
      <c r="V931" t="s">
        <v>1810</v>
      </c>
      <c r="W931">
        <v>0.09</v>
      </c>
    </row>
    <row r="932" spans="1:23" x14ac:dyDescent="0.25">
      <c r="A932" s="400" t="s">
        <v>1808</v>
      </c>
      <c r="B932">
        <v>0</v>
      </c>
      <c r="D932" t="s">
        <v>1811</v>
      </c>
      <c r="E932">
        <v>26626</v>
      </c>
      <c r="G932" t="s">
        <v>1811</v>
      </c>
      <c r="H932">
        <v>247886</v>
      </c>
      <c r="J932" t="s">
        <v>1811</v>
      </c>
      <c r="K932">
        <v>250365</v>
      </c>
      <c r="M932" t="s">
        <v>1811</v>
      </c>
      <c r="N932">
        <v>252869</v>
      </c>
      <c r="P932" t="s">
        <v>1811</v>
      </c>
      <c r="Q932">
        <v>255397</v>
      </c>
      <c r="S932" t="s">
        <v>1811</v>
      </c>
      <c r="T932">
        <v>257951</v>
      </c>
      <c r="V932" t="s">
        <v>1811</v>
      </c>
      <c r="W932">
        <v>260531</v>
      </c>
    </row>
    <row r="933" spans="1:23" x14ac:dyDescent="0.25">
      <c r="A933" s="400" t="s">
        <v>1809</v>
      </c>
      <c r="B933">
        <v>0</v>
      </c>
      <c r="D933" t="s">
        <v>1812</v>
      </c>
      <c r="E933">
        <v>0</v>
      </c>
      <c r="G933" t="s">
        <v>1812</v>
      </c>
      <c r="H933">
        <v>0</v>
      </c>
      <c r="J933" t="s">
        <v>1812</v>
      </c>
      <c r="K933">
        <v>0</v>
      </c>
      <c r="M933" t="s">
        <v>1812</v>
      </c>
      <c r="N933">
        <v>0</v>
      </c>
      <c r="P933" t="s">
        <v>1812</v>
      </c>
      <c r="Q933">
        <v>0</v>
      </c>
      <c r="S933" t="s">
        <v>1812</v>
      </c>
      <c r="T933">
        <v>0</v>
      </c>
      <c r="V933" t="s">
        <v>1812</v>
      </c>
      <c r="W933">
        <v>0</v>
      </c>
    </row>
    <row r="934" spans="1:23" x14ac:dyDescent="0.25">
      <c r="A934" s="400" t="s">
        <v>1810</v>
      </c>
      <c r="B934">
        <v>0.01</v>
      </c>
      <c r="D934" t="s">
        <v>1813</v>
      </c>
      <c r="E934">
        <v>0</v>
      </c>
      <c r="G934" t="s">
        <v>1813</v>
      </c>
      <c r="H934">
        <v>0</v>
      </c>
      <c r="J934" t="s">
        <v>1813</v>
      </c>
      <c r="K934">
        <v>0</v>
      </c>
      <c r="M934" t="s">
        <v>1813</v>
      </c>
      <c r="N934">
        <v>0</v>
      </c>
      <c r="P934" t="s">
        <v>1813</v>
      </c>
      <c r="Q934">
        <v>0</v>
      </c>
      <c r="S934" t="s">
        <v>1813</v>
      </c>
      <c r="T934">
        <v>0</v>
      </c>
      <c r="V934" t="s">
        <v>1813</v>
      </c>
      <c r="W934">
        <v>0</v>
      </c>
    </row>
    <row r="935" spans="1:23" x14ac:dyDescent="0.25">
      <c r="A935" s="400" t="s">
        <v>1811</v>
      </c>
      <c r="B935">
        <v>26676</v>
      </c>
      <c r="D935" t="s">
        <v>1814</v>
      </c>
      <c r="E935">
        <v>0</v>
      </c>
      <c r="G935" t="s">
        <v>1814</v>
      </c>
      <c r="H935">
        <v>0</v>
      </c>
      <c r="J935" t="s">
        <v>1814</v>
      </c>
      <c r="K935">
        <v>0</v>
      </c>
      <c r="M935" t="s">
        <v>1814</v>
      </c>
      <c r="N935">
        <v>0</v>
      </c>
      <c r="P935" t="s">
        <v>1814</v>
      </c>
      <c r="Q935">
        <v>0</v>
      </c>
      <c r="S935" t="s">
        <v>1814</v>
      </c>
      <c r="T935">
        <v>0</v>
      </c>
      <c r="V935" t="s">
        <v>1814</v>
      </c>
      <c r="W935">
        <v>0</v>
      </c>
    </row>
    <row r="936" spans="1:23" x14ac:dyDescent="0.25">
      <c r="A936" s="400" t="s">
        <v>1812</v>
      </c>
      <c r="B936">
        <v>0</v>
      </c>
      <c r="D936" t="s">
        <v>1815</v>
      </c>
      <c r="E936">
        <v>26626</v>
      </c>
      <c r="G936" t="s">
        <v>1815</v>
      </c>
      <c r="H936">
        <v>247886</v>
      </c>
      <c r="J936" t="s">
        <v>1815</v>
      </c>
      <c r="K936">
        <v>250365</v>
      </c>
      <c r="M936" t="s">
        <v>1815</v>
      </c>
      <c r="N936">
        <v>252869</v>
      </c>
      <c r="P936" t="s">
        <v>1815</v>
      </c>
      <c r="Q936">
        <v>255397</v>
      </c>
      <c r="S936" t="s">
        <v>1815</v>
      </c>
      <c r="T936">
        <v>257951</v>
      </c>
      <c r="V936" t="s">
        <v>1815</v>
      </c>
      <c r="W936">
        <v>260531</v>
      </c>
    </row>
    <row r="937" spans="1:23" x14ac:dyDescent="0.25">
      <c r="A937" s="400" t="s">
        <v>1813</v>
      </c>
      <c r="B937">
        <v>0</v>
      </c>
      <c r="E937">
        <v>0</v>
      </c>
      <c r="H937">
        <v>0</v>
      </c>
      <c r="K937">
        <v>0</v>
      </c>
      <c r="N937">
        <v>0</v>
      </c>
      <c r="Q937">
        <v>0</v>
      </c>
      <c r="T937">
        <v>0</v>
      </c>
      <c r="W937">
        <v>0</v>
      </c>
    </row>
    <row r="938" spans="1:23" x14ac:dyDescent="0.25">
      <c r="A938" s="400" t="s">
        <v>1814</v>
      </c>
      <c r="B938">
        <v>0</v>
      </c>
      <c r="D938" t="s">
        <v>1816</v>
      </c>
      <c r="E938">
        <v>100000</v>
      </c>
      <c r="G938" t="s">
        <v>1816</v>
      </c>
      <c r="H938">
        <v>100000</v>
      </c>
      <c r="J938" t="s">
        <v>1816</v>
      </c>
      <c r="K938">
        <v>175000</v>
      </c>
      <c r="M938" t="s">
        <v>1816</v>
      </c>
      <c r="N938">
        <v>175000</v>
      </c>
      <c r="P938" t="s">
        <v>1816</v>
      </c>
      <c r="Q938">
        <v>175000</v>
      </c>
      <c r="S938" t="s">
        <v>1816</v>
      </c>
      <c r="T938">
        <v>175000</v>
      </c>
      <c r="V938" t="s">
        <v>1816</v>
      </c>
      <c r="W938">
        <v>175000</v>
      </c>
    </row>
    <row r="939" spans="1:23" x14ac:dyDescent="0.25">
      <c r="A939" s="400" t="s">
        <v>1815</v>
      </c>
      <c r="B939">
        <v>26676</v>
      </c>
      <c r="D939" t="s">
        <v>1817</v>
      </c>
      <c r="E939">
        <v>0</v>
      </c>
      <c r="G939" t="s">
        <v>1817</v>
      </c>
      <c r="H939">
        <v>0</v>
      </c>
      <c r="J939" t="s">
        <v>1817</v>
      </c>
      <c r="K939">
        <v>0</v>
      </c>
      <c r="M939" t="s">
        <v>1817</v>
      </c>
      <c r="N939">
        <v>0</v>
      </c>
      <c r="P939" t="s">
        <v>1817</v>
      </c>
      <c r="Q939">
        <v>0</v>
      </c>
      <c r="S939" t="s">
        <v>1817</v>
      </c>
      <c r="T939">
        <v>0</v>
      </c>
      <c r="V939" t="s">
        <v>1817</v>
      </c>
      <c r="W939">
        <v>0</v>
      </c>
    </row>
    <row r="940" spans="1:23" x14ac:dyDescent="0.25">
      <c r="A940" s="400"/>
      <c r="B940">
        <v>0</v>
      </c>
      <c r="D940" t="s">
        <v>1818</v>
      </c>
      <c r="E940">
        <v>83176</v>
      </c>
      <c r="G940" t="s">
        <v>1818</v>
      </c>
      <c r="H940">
        <v>89118</v>
      </c>
      <c r="J940" t="s">
        <v>1818</v>
      </c>
      <c r="K940">
        <v>91791</v>
      </c>
      <c r="M940" t="s">
        <v>1818</v>
      </c>
      <c r="N940">
        <v>94545</v>
      </c>
      <c r="P940" t="s">
        <v>1818</v>
      </c>
      <c r="Q940">
        <v>97381</v>
      </c>
      <c r="S940" t="s">
        <v>1818</v>
      </c>
      <c r="T940">
        <v>100303</v>
      </c>
      <c r="V940" t="s">
        <v>1818</v>
      </c>
      <c r="W940">
        <v>103312</v>
      </c>
    </row>
    <row r="941" spans="1:23" x14ac:dyDescent="0.25">
      <c r="A941" s="400" t="s">
        <v>1816</v>
      </c>
      <c r="B941">
        <v>200000</v>
      </c>
      <c r="D941" t="s">
        <v>1819</v>
      </c>
      <c r="E941">
        <v>0</v>
      </c>
      <c r="G941" t="s">
        <v>1819</v>
      </c>
      <c r="H941">
        <v>0</v>
      </c>
      <c r="J941" t="s">
        <v>1819</v>
      </c>
      <c r="K941">
        <v>0</v>
      </c>
      <c r="M941" t="s">
        <v>1819</v>
      </c>
      <c r="N941">
        <v>0</v>
      </c>
      <c r="P941" t="s">
        <v>1819</v>
      </c>
      <c r="Q941">
        <v>0</v>
      </c>
      <c r="S941" t="s">
        <v>1819</v>
      </c>
      <c r="T941">
        <v>0</v>
      </c>
      <c r="V941" t="s">
        <v>1819</v>
      </c>
      <c r="W941">
        <v>0</v>
      </c>
    </row>
    <row r="942" spans="1:23" x14ac:dyDescent="0.25">
      <c r="A942" s="400" t="s">
        <v>1817</v>
      </c>
      <c r="B942">
        <v>0</v>
      </c>
      <c r="D942" t="s">
        <v>1820</v>
      </c>
      <c r="E942">
        <v>0</v>
      </c>
      <c r="G942" t="s">
        <v>1820</v>
      </c>
      <c r="H942">
        <v>0</v>
      </c>
      <c r="J942" t="s">
        <v>1820</v>
      </c>
      <c r="K942">
        <v>0</v>
      </c>
      <c r="M942" t="s">
        <v>1820</v>
      </c>
      <c r="N942">
        <v>0</v>
      </c>
      <c r="P942" t="s">
        <v>1820</v>
      </c>
      <c r="Q942">
        <v>0</v>
      </c>
      <c r="S942" t="s">
        <v>1820</v>
      </c>
      <c r="T942">
        <v>0</v>
      </c>
      <c r="V942" t="s">
        <v>1820</v>
      </c>
      <c r="W942">
        <v>0</v>
      </c>
    </row>
    <row r="943" spans="1:23" x14ac:dyDescent="0.25">
      <c r="A943" s="400" t="s">
        <v>1818</v>
      </c>
      <c r="B943">
        <v>83175</v>
      </c>
      <c r="D943" t="s">
        <v>1821</v>
      </c>
      <c r="E943">
        <v>0</v>
      </c>
      <c r="G943" t="s">
        <v>1821</v>
      </c>
      <c r="H943">
        <v>0</v>
      </c>
      <c r="J943" t="s">
        <v>1821</v>
      </c>
      <c r="K943">
        <v>0</v>
      </c>
      <c r="M943" t="s">
        <v>1821</v>
      </c>
      <c r="N943">
        <v>0</v>
      </c>
      <c r="P943" t="s">
        <v>1821</v>
      </c>
      <c r="Q943">
        <v>0</v>
      </c>
      <c r="S943" t="s">
        <v>1821</v>
      </c>
      <c r="T943">
        <v>0</v>
      </c>
      <c r="V943" t="s">
        <v>1821</v>
      </c>
      <c r="W943">
        <v>0</v>
      </c>
    </row>
    <row r="944" spans="1:23" x14ac:dyDescent="0.25">
      <c r="A944" s="400" t="s">
        <v>1819</v>
      </c>
      <c r="B944">
        <v>0</v>
      </c>
      <c r="D944" t="s">
        <v>1822</v>
      </c>
      <c r="E944">
        <v>0</v>
      </c>
      <c r="G944" t="s">
        <v>1822</v>
      </c>
      <c r="H944">
        <v>0</v>
      </c>
      <c r="J944" t="s">
        <v>1822</v>
      </c>
      <c r="K944">
        <v>625000</v>
      </c>
      <c r="M944" t="s">
        <v>1822</v>
      </c>
      <c r="N944">
        <v>638000</v>
      </c>
      <c r="P944" t="s">
        <v>1822</v>
      </c>
      <c r="Q944">
        <v>640000</v>
      </c>
      <c r="S944" t="s">
        <v>1822</v>
      </c>
      <c r="T944">
        <v>657000</v>
      </c>
      <c r="V944" t="s">
        <v>1822</v>
      </c>
      <c r="W944">
        <v>664000</v>
      </c>
    </row>
    <row r="945" spans="1:2" x14ac:dyDescent="0.25">
      <c r="A945" s="400" t="s">
        <v>1820</v>
      </c>
      <c r="B945">
        <v>0</v>
      </c>
    </row>
    <row r="946" spans="1:2" x14ac:dyDescent="0.25">
      <c r="A946" s="400" t="s">
        <v>1821</v>
      </c>
      <c r="B946">
        <v>0</v>
      </c>
    </row>
    <row r="947" spans="1:2" x14ac:dyDescent="0.25">
      <c r="A947" s="400" t="s">
        <v>1822</v>
      </c>
      <c r="B947">
        <v>0</v>
      </c>
    </row>
    <row r="948" spans="1:2" x14ac:dyDescent="0.25">
      <c r="A948" s="40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18"/>
  <sheetViews>
    <sheetView workbookViewId="0"/>
  </sheetViews>
  <sheetFormatPr defaultRowHeight="15" x14ac:dyDescent="0.25"/>
  <cols>
    <col min="2" max="2" width="17.42578125" bestFit="1" customWidth="1" collapsed="1"/>
    <col min="3" max="3" width="18.85546875" bestFit="1" customWidth="1" collapsed="1"/>
    <col min="4" max="4" width="107.140625" customWidth="1" collapsed="1"/>
  </cols>
  <sheetData>
    <row r="2" spans="1:8" x14ac:dyDescent="0.25">
      <c r="B2" t="s">
        <v>19</v>
      </c>
      <c r="C2" t="s">
        <v>2232</v>
      </c>
    </row>
    <row r="3" spans="1:8" x14ac:dyDescent="0.25">
      <c r="B3" t="s">
        <v>21</v>
      </c>
      <c r="C3" t="s">
        <v>2234</v>
      </c>
    </row>
    <row r="4" spans="1:8" x14ac:dyDescent="0.25">
      <c r="B4" t="s">
        <v>20</v>
      </c>
      <c r="C4" t="s">
        <v>2233</v>
      </c>
    </row>
    <row r="5" spans="1:8" x14ac:dyDescent="0.25">
      <c r="B5" t="s">
        <v>32</v>
      </c>
      <c r="C5" t="s">
        <v>1856</v>
      </c>
    </row>
    <row r="6" spans="1:8" x14ac:dyDescent="0.25">
      <c r="B6" t="s">
        <v>534</v>
      </c>
      <c r="C6">
        <v>2718</v>
      </c>
    </row>
    <row r="7" spans="1:8" ht="26.25" x14ac:dyDescent="0.4">
      <c r="A7" s="1" t="s">
        <v>28</v>
      </c>
      <c r="B7" s="2"/>
    </row>
    <row r="8" spans="1:8" ht="15.75" x14ac:dyDescent="0.25">
      <c r="B8" s="3" t="s">
        <v>22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</row>
    <row r="10" spans="1:8" x14ac:dyDescent="0.25">
      <c r="B10" t="s">
        <v>163</v>
      </c>
      <c r="C10" t="s">
        <v>2208</v>
      </c>
      <c r="D10" t="s">
        <v>540</v>
      </c>
      <c r="E10" t="s">
        <v>2209</v>
      </c>
      <c r="F10" t="s">
        <v>2210</v>
      </c>
      <c r="G10" t="s">
        <v>1995</v>
      </c>
      <c r="H10" t="s">
        <v>2211</v>
      </c>
    </row>
    <row r="12" spans="1:8" x14ac:dyDescent="0.25">
      <c r="B12" t="s">
        <v>2212</v>
      </c>
      <c r="C12" t="s">
        <v>2213</v>
      </c>
      <c r="D12" t="s">
        <v>539</v>
      </c>
      <c r="E12" t="s">
        <v>2214</v>
      </c>
      <c r="F12" t="s">
        <v>2215</v>
      </c>
      <c r="G12" t="s">
        <v>1995</v>
      </c>
      <c r="H12" t="s">
        <v>2216</v>
      </c>
    </row>
    <row r="13" spans="1:8" x14ac:dyDescent="0.25">
      <c r="B13" t="s">
        <v>2212</v>
      </c>
      <c r="C13" t="s">
        <v>2217</v>
      </c>
      <c r="D13" t="s">
        <v>540</v>
      </c>
      <c r="E13" t="s">
        <v>2218</v>
      </c>
      <c r="F13" t="s">
        <v>2219</v>
      </c>
      <c r="G13" t="s">
        <v>1995</v>
      </c>
      <c r="H13" t="s">
        <v>2220</v>
      </c>
    </row>
    <row r="14" spans="1:8" x14ac:dyDescent="0.25">
      <c r="B14" t="s">
        <v>2212</v>
      </c>
      <c r="C14" t="s">
        <v>2217</v>
      </c>
      <c r="D14" t="s">
        <v>541</v>
      </c>
      <c r="E14" t="s">
        <v>2218</v>
      </c>
      <c r="F14" t="s">
        <v>2221</v>
      </c>
      <c r="G14" t="s">
        <v>1995</v>
      </c>
      <c r="H14" t="s">
        <v>2222</v>
      </c>
    </row>
    <row r="15" spans="1:8" x14ac:dyDescent="0.25">
      <c r="B15" t="s">
        <v>2212</v>
      </c>
      <c r="C15" t="s">
        <v>2217</v>
      </c>
      <c r="D15" t="s">
        <v>542</v>
      </c>
      <c r="E15" t="s">
        <v>2218</v>
      </c>
      <c r="F15" t="s">
        <v>2223</v>
      </c>
      <c r="G15" t="s">
        <v>1995</v>
      </c>
      <c r="H15" t="s">
        <v>2224</v>
      </c>
    </row>
    <row r="16" spans="1:8" x14ac:dyDescent="0.25">
      <c r="B16" t="s">
        <v>2212</v>
      </c>
      <c r="C16" t="s">
        <v>2217</v>
      </c>
      <c r="D16" t="s">
        <v>1835</v>
      </c>
      <c r="E16" t="s">
        <v>2218</v>
      </c>
      <c r="F16" t="s">
        <v>2225</v>
      </c>
      <c r="G16" t="s">
        <v>1995</v>
      </c>
      <c r="H16" t="s">
        <v>2226</v>
      </c>
    </row>
    <row r="17" spans="2:8" x14ac:dyDescent="0.25">
      <c r="B17" t="s">
        <v>2212</v>
      </c>
      <c r="C17" t="s">
        <v>2217</v>
      </c>
      <c r="D17" t="s">
        <v>1836</v>
      </c>
      <c r="E17" t="s">
        <v>2218</v>
      </c>
      <c r="F17" t="s">
        <v>2227</v>
      </c>
      <c r="G17" t="s">
        <v>1995</v>
      </c>
      <c r="H17" t="s">
        <v>2228</v>
      </c>
    </row>
    <row r="18" spans="2:8" x14ac:dyDescent="0.25">
      <c r="B18" t="s">
        <v>2212</v>
      </c>
      <c r="C18" t="s">
        <v>2229</v>
      </c>
      <c r="D18" t="s">
        <v>539</v>
      </c>
      <c r="E18" t="s">
        <v>2214</v>
      </c>
      <c r="F18" t="s">
        <v>2230</v>
      </c>
      <c r="G18" t="s">
        <v>1995</v>
      </c>
      <c r="H18" t="s">
        <v>2231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A76"/>
  <sheetViews>
    <sheetView zoomScale="60" zoomScaleNormal="60" workbookViewId="0">
      <selection activeCell="B2" sqref="B2:N2"/>
    </sheetView>
  </sheetViews>
  <sheetFormatPr defaultColWidth="8.85546875" defaultRowHeight="12.75" x14ac:dyDescent="0.2"/>
  <cols>
    <col min="1" max="1" width="8.85546875" style="5" collapsed="1"/>
    <col min="2" max="2" width="59.28515625" style="5" bestFit="1" customWidth="1" collapsed="1"/>
    <col min="3" max="13" width="15.85546875" style="5" customWidth="1" collapsed="1"/>
    <col min="14" max="14" width="9.7109375" style="5" customWidth="1" collapsed="1"/>
    <col min="15" max="20" width="50.7109375" style="5" customWidth="1" collapsed="1"/>
    <col min="21" max="21" width="20.140625" style="5" bestFit="1" customWidth="1" collapsed="1"/>
    <col min="22" max="27" width="11.7109375" style="5" bestFit="1" customWidth="1" collapsed="1"/>
    <col min="28" max="16384" width="8.85546875" style="5" collapsed="1"/>
  </cols>
  <sheetData>
    <row r="1" spans="2:14" ht="69.75" customHeight="1" x14ac:dyDescent="0.2"/>
    <row r="2" spans="2:14" ht="42.6" customHeight="1" x14ac:dyDescent="0.2">
      <c r="B2" s="474" t="s">
        <v>2235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6"/>
    </row>
    <row r="3" spans="2:14" ht="30" customHeight="1" x14ac:dyDescent="0.2">
      <c r="B3" s="477" t="s">
        <v>162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9"/>
    </row>
    <row r="4" spans="2:14" ht="30" customHeight="1" x14ac:dyDescent="0.2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2:14" ht="15" customHeight="1" x14ac:dyDescent="0.2">
      <c r="B5" s="147"/>
      <c r="C5" s="470" t="s">
        <v>29</v>
      </c>
      <c r="D5" s="471"/>
      <c r="E5" s="471"/>
      <c r="F5" s="471"/>
      <c r="G5" s="471"/>
      <c r="H5" s="471"/>
      <c r="I5" s="471"/>
      <c r="J5" s="471"/>
      <c r="K5" s="471"/>
      <c r="L5" s="472" t="s">
        <v>18</v>
      </c>
      <c r="M5" s="473"/>
      <c r="N5" s="148"/>
    </row>
    <row r="6" spans="2:14" ht="15" customHeight="1" x14ac:dyDescent="0.25">
      <c r="B6" s="149"/>
      <c r="C6" s="150" t="str">
        <f>Admin2!K2</f>
        <v>FY - 2013</v>
      </c>
      <c r="D6" s="151" t="str">
        <f>Admin2!L2</f>
        <v>FY - 2014</v>
      </c>
      <c r="E6" s="152" t="s">
        <v>543</v>
      </c>
      <c r="F6" s="151" t="str">
        <f>Admin2!M2</f>
        <v>FY - 2015</v>
      </c>
      <c r="G6" s="152" t="s">
        <v>543</v>
      </c>
      <c r="H6" s="151" t="str">
        <f>Admin2!N2</f>
        <v>FY - 2016</v>
      </c>
      <c r="I6" s="152" t="s">
        <v>543</v>
      </c>
      <c r="J6" s="151" t="str">
        <f>Admin2!O2</f>
        <v>FY - 2017</v>
      </c>
      <c r="K6" s="152" t="s">
        <v>543</v>
      </c>
      <c r="L6" s="153" t="str">
        <f>Admin2!P2</f>
        <v>FY - 2018</v>
      </c>
      <c r="M6" s="154" t="s">
        <v>543</v>
      </c>
      <c r="N6" s="148"/>
    </row>
    <row r="7" spans="2:14" ht="15" customHeight="1" x14ac:dyDescent="0.2">
      <c r="B7" s="171" t="s">
        <v>0</v>
      </c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162"/>
    </row>
    <row r="8" spans="2:14" ht="15" customHeight="1" x14ac:dyDescent="0.2">
      <c r="B8" s="175" t="s">
        <v>1</v>
      </c>
      <c r="C8" s="176">
        <f>SUMIFS(INDEX(RevIndex,0,MATCH(RIGHT(C$6,4),RevPeriod,0)),RevFundRollup,"10",RevSource,"1000")</f>
        <v>2506200.7999999993</v>
      </c>
      <c r="D8" s="177">
        <f>SUMIFS(INDEX(RevIndex,0,MATCH(RIGHT(D$6,4),RevPeriod,0)),RevFundRollup,"10",RevSource,"1000")</f>
        <v>2588222.2999999998</v>
      </c>
      <c r="E8" s="178">
        <f>IF(C8=0,0,(D8-C8)/C8)</f>
        <v>3.2727425511954386E-2</v>
      </c>
      <c r="F8" s="177">
        <f>SUMIFS(INDEX(RevIndex,0,MATCH(RIGHT(F$6,4),RevPeriod,0)),RevFundRollup,"10",RevSource,"1000")</f>
        <v>2759424.0700000008</v>
      </c>
      <c r="G8" s="178">
        <f>IF(D8=0,0,(F8-D8)/D8)</f>
        <v>6.6146470494439738E-2</v>
      </c>
      <c r="H8" s="177">
        <f>SUMIFS(INDEX(RevIndex,0,MATCH(RIGHT(H$6,4),RevPeriod,0)),RevFundRollup,"10",RevSource,"1000")</f>
        <v>2994928.3399999994</v>
      </c>
      <c r="I8" s="178">
        <f>IF(F8=0,0,(H8-F8)/F8)</f>
        <v>8.5345443116323388E-2</v>
      </c>
      <c r="J8" s="177">
        <f>SUMIFS(INDEX(RevIndex,0,MATCH(RIGHT(J$6,4),RevPeriod,0)),RevFundRollup,"10",RevSource,"1000")</f>
        <v>3110139.75</v>
      </c>
      <c r="K8" s="178">
        <f>IF(H8=0,0,(J8-H8)/H8)</f>
        <v>3.8468836953875374E-2</v>
      </c>
      <c r="L8" s="177">
        <f>SUMIFS(INDEX(RevIndex,0,MATCH(RIGHT(L$6,4),RevPeriod,0)),RevFundRollup,"10",RevSource,"1000")</f>
        <v>3509067.95</v>
      </c>
      <c r="M8" s="179">
        <f>IF(J8=0,0,(L8-J8)/J8)</f>
        <v>0.1282669693540299</v>
      </c>
      <c r="N8" s="162"/>
    </row>
    <row r="9" spans="2:14" ht="15" customHeight="1" x14ac:dyDescent="0.2">
      <c r="B9" s="175" t="s">
        <v>2</v>
      </c>
      <c r="C9" s="176">
        <f>SUMIFS(INDEX(RevIndex,0,MATCH(RIGHT(C$6,4),RevPeriod,0)),RevFundRollup,"10",RevSource,"2000")</f>
        <v>0</v>
      </c>
      <c r="D9" s="177">
        <f>SUMIFS(INDEX(RevIndex,0,MATCH(RIGHT(D$6,4),RevPeriod,0)),RevFundRollup,"10",RevSource,"2000")</f>
        <v>0</v>
      </c>
      <c r="E9" s="178">
        <f t="shared" ref="E9:E13" si="0">IF(C9=0,0,(D9-C9)/C9)</f>
        <v>0</v>
      </c>
      <c r="F9" s="177">
        <f>SUMIFS(INDEX(RevIndex,0,MATCH(RIGHT(F$6,4),RevPeriod,0)),RevFundRollup,"10",RevSource,"2000")</f>
        <v>0</v>
      </c>
      <c r="G9" s="178">
        <f t="shared" ref="G9:G13" si="1">IF(D9=0,0,(F9-D9)/D9)</f>
        <v>0</v>
      </c>
      <c r="H9" s="177">
        <f>SUMIFS(INDEX(RevIndex,0,MATCH(RIGHT(H$6,4),RevPeriod,0)),RevFundRollup,"10",RevSource,"2000")</f>
        <v>0</v>
      </c>
      <c r="I9" s="178">
        <f t="shared" ref="I9:M13" si="2">IF(F9=0,0,(H9-F9)/F9)</f>
        <v>0</v>
      </c>
      <c r="J9" s="177">
        <f>SUMIFS(INDEX(RevIndex,0,MATCH(RIGHT(J$6,4),RevPeriod,0)),RevFundRollup,"10",RevSource,"2000")</f>
        <v>0</v>
      </c>
      <c r="K9" s="178">
        <f t="shared" ref="K9:K12" si="3">IF(H9=0,0,(J9-H9)/H9)</f>
        <v>0</v>
      </c>
      <c r="L9" s="177">
        <f>SUMIFS(INDEX(RevIndex,0,MATCH(RIGHT(L$6,4),RevPeriod,0)),RevFundRollup,"10",RevSource,"2000")</f>
        <v>0</v>
      </c>
      <c r="M9" s="179">
        <f t="shared" ref="M9:M11" si="4">IF(J9=0,0,(L9-J9)/J9)</f>
        <v>0</v>
      </c>
      <c r="N9" s="162"/>
    </row>
    <row r="10" spans="2:14" ht="15" customHeight="1" x14ac:dyDescent="0.2">
      <c r="B10" s="175" t="s">
        <v>3</v>
      </c>
      <c r="C10" s="176">
        <f>SUMIFS(INDEX(RevIndex,0,MATCH(RIGHT(C$6,4),RevPeriod,0)),RevFundRollup,"10",RevSource,"3000")</f>
        <v>3031109.8699999996</v>
      </c>
      <c r="D10" s="177">
        <f>SUMIFS(INDEX(RevIndex,0,MATCH(RIGHT(D$6,4),RevPeriod,0)),RevFundRollup,"10",RevSource,"3000")</f>
        <v>3273282.69</v>
      </c>
      <c r="E10" s="178">
        <f t="shared" si="0"/>
        <v>7.9895757787229377E-2</v>
      </c>
      <c r="F10" s="177">
        <f>SUMIFS(INDEX(RevIndex,0,MATCH(RIGHT(F$6,4),RevPeriod,0)),RevFundRollup,"10",RevSource,"3000")</f>
        <v>3051267.19</v>
      </c>
      <c r="G10" s="178">
        <f t="shared" si="1"/>
        <v>-6.7826558542672041E-2</v>
      </c>
      <c r="H10" s="177">
        <f>SUMIFS(INDEX(RevIndex,0,MATCH(RIGHT(H$6,4),RevPeriod,0)),RevFundRollup,"10",RevSource,"3000")</f>
        <v>2895070.7</v>
      </c>
      <c r="I10" s="178">
        <f t="shared" si="2"/>
        <v>-5.119069562701907E-2</v>
      </c>
      <c r="J10" s="177">
        <f>SUMIFS(INDEX(RevIndex,0,MATCH(RIGHT(J$6,4),RevPeriod,0)),RevFundRollup,"10",RevSource,"3000")</f>
        <v>2901507.63</v>
      </c>
      <c r="K10" s="178">
        <f t="shared" si="3"/>
        <v>2.2234102952994211E-3</v>
      </c>
      <c r="L10" s="177">
        <f>SUMIFS(INDEX(RevIndex,0,MATCH(RIGHT(L$6,4),RevPeriod,0)),RevFundRollup,"10",RevSource,"3000")</f>
        <v>3036636.69</v>
      </c>
      <c r="M10" s="179">
        <f t="shared" si="4"/>
        <v>4.6572016079792306E-2</v>
      </c>
      <c r="N10" s="162"/>
    </row>
    <row r="11" spans="2:14" ht="15" customHeight="1" x14ac:dyDescent="0.2">
      <c r="B11" s="175" t="s">
        <v>4</v>
      </c>
      <c r="C11" s="176">
        <f>SUMIFS(INDEX(RevIndex,0,MATCH(RIGHT(C$6,4),RevPeriod,0)),RevFundRollup,"10",RevSource,"4000")</f>
        <v>173327.75</v>
      </c>
      <c r="D11" s="177">
        <f>SUMIFS(INDEX(RevIndex,0,MATCH(RIGHT(D$6,4),RevPeriod,0)),RevFundRollup,"10",RevSource,"4000")</f>
        <v>193863.72</v>
      </c>
      <c r="E11" s="178">
        <f t="shared" si="0"/>
        <v>0.11848056644132288</v>
      </c>
      <c r="F11" s="177">
        <f>SUMIFS(INDEX(RevIndex,0,MATCH(RIGHT(F$6,4),RevPeriod,0)),RevFundRollup,"10",RevSource,"4000")</f>
        <v>162875.68</v>
      </c>
      <c r="G11" s="178">
        <f t="shared" si="1"/>
        <v>-0.15984445155596935</v>
      </c>
      <c r="H11" s="177">
        <f>SUMIFS(INDEX(RevIndex,0,MATCH(RIGHT(H$6,4),RevPeriod,0)),RevFundRollup,"10",RevSource,"4000")</f>
        <v>259426.06999999998</v>
      </c>
      <c r="I11" s="178">
        <f t="shared" si="2"/>
        <v>0.5927857983463215</v>
      </c>
      <c r="J11" s="177">
        <f>SUMIFS(INDEX(RevIndex,0,MATCH(RIGHT(J$6,4),RevPeriod,0)),RevFundRollup,"10",RevSource,"4000")</f>
        <v>170738</v>
      </c>
      <c r="K11" s="178">
        <f t="shared" si="3"/>
        <v>-0.34186259692404847</v>
      </c>
      <c r="L11" s="177">
        <f>SUMIFS(INDEX(RevIndex,0,MATCH(RIGHT(L$6,4),RevPeriod,0)),RevFundRollup,"10",RevSource,"4000")</f>
        <v>203088.94</v>
      </c>
      <c r="M11" s="179">
        <f t="shared" si="4"/>
        <v>0.18947709355855172</v>
      </c>
      <c r="N11" s="162"/>
    </row>
    <row r="12" spans="2:14" ht="15" customHeight="1" x14ac:dyDescent="0.2">
      <c r="B12" s="175" t="s">
        <v>5</v>
      </c>
      <c r="C12" s="176">
        <f>SUMIFS(INDEX(RevIndex,0,MATCH(RIGHT(C$6,4),RevPeriod,0)),RevFundRollup,"10",RevSource,"9000")</f>
        <v>4002.81</v>
      </c>
      <c r="D12" s="177">
        <f>SUMIFS(INDEX(RevIndex,0,MATCH(RIGHT(D$6,4),RevPeriod,0)),RevFundRollup,"10",RevSource,"9000")</f>
        <v>10717.48</v>
      </c>
      <c r="E12" s="178">
        <f t="shared" si="0"/>
        <v>1.6774890639325875</v>
      </c>
      <c r="F12" s="177">
        <f>SUMIFS(INDEX(RevIndex,0,MATCH(RIGHT(F$6,4),RevPeriod,0)),RevFundRollup,"10",RevSource,"9000")</f>
        <v>15537.56</v>
      </c>
      <c r="G12" s="178">
        <f t="shared" si="1"/>
        <v>0.44974005083284507</v>
      </c>
      <c r="H12" s="177">
        <f>SUMIFS(INDEX(RevIndex,0,MATCH(RIGHT(H$6,4),RevPeriod,0)),RevFundRollup,"10",RevSource,"9000")</f>
        <v>0</v>
      </c>
      <c r="I12" s="178">
        <f t="shared" si="2"/>
        <v>-1</v>
      </c>
      <c r="J12" s="177">
        <f>SUMIFS(INDEX(RevIndex,0,MATCH(RIGHT(J$6,4),RevPeriod,0)),RevFundRollup,"10",RevSource,"9000")</f>
        <v>0</v>
      </c>
      <c r="K12" s="178">
        <f t="shared" si="3"/>
        <v>0</v>
      </c>
      <c r="L12" s="177">
        <f>SUMIFS(INDEX(RevIndex,0,MATCH(RIGHT(L$6,4),RevPeriod,0)),RevFundRollup,"10",RevSource,"9000")</f>
        <v>0</v>
      </c>
      <c r="M12" s="179">
        <f>IF(J12=0,0,(L12-J12)/J12)</f>
        <v>0</v>
      </c>
      <c r="N12" s="162"/>
    </row>
    <row r="13" spans="2:14" ht="15" customHeight="1" x14ac:dyDescent="0.2">
      <c r="B13" s="171" t="s">
        <v>6</v>
      </c>
      <c r="C13" s="180">
        <f>SUM(C8:C12)</f>
        <v>5714641.2299999986</v>
      </c>
      <c r="D13" s="181">
        <f>SUM(D8:D12)</f>
        <v>6066086.1900000004</v>
      </c>
      <c r="E13" s="182">
        <f t="shared" si="0"/>
        <v>6.1499041821738633E-2</v>
      </c>
      <c r="F13" s="181">
        <f>SUM(F8:F12)</f>
        <v>5989104.5</v>
      </c>
      <c r="G13" s="182">
        <f t="shared" si="1"/>
        <v>-1.2690503825498795E-2</v>
      </c>
      <c r="H13" s="181">
        <f>SUM(H8:H12)</f>
        <v>6149425.1099999994</v>
      </c>
      <c r="I13" s="182">
        <f t="shared" si="2"/>
        <v>2.6768711415871838E-2</v>
      </c>
      <c r="J13" s="181">
        <f>SUM(J8:J12)</f>
        <v>6182385.3799999999</v>
      </c>
      <c r="K13" s="182">
        <f t="shared" si="2"/>
        <v>5.3598945284172245E-3</v>
      </c>
      <c r="L13" s="181">
        <f>SUM(L8:L12)</f>
        <v>6748793.580000001</v>
      </c>
      <c r="M13" s="183">
        <f t="shared" si="2"/>
        <v>9.1616449830567034E-2</v>
      </c>
      <c r="N13" s="162"/>
    </row>
    <row r="14" spans="2:14" ht="15" customHeight="1" x14ac:dyDescent="0.2">
      <c r="B14" s="175"/>
      <c r="C14" s="176"/>
      <c r="D14" s="177"/>
      <c r="E14" s="178"/>
      <c r="F14" s="177"/>
      <c r="G14" s="178"/>
      <c r="H14" s="177"/>
      <c r="I14" s="178"/>
      <c r="J14" s="177"/>
      <c r="K14" s="178"/>
      <c r="L14" s="177"/>
      <c r="M14" s="184"/>
      <c r="N14" s="162"/>
    </row>
    <row r="15" spans="2:14" ht="15" customHeight="1" x14ac:dyDescent="0.2">
      <c r="B15" s="171" t="s">
        <v>7</v>
      </c>
      <c r="C15" s="176"/>
      <c r="D15" s="177"/>
      <c r="E15" s="178"/>
      <c r="F15" s="177"/>
      <c r="G15" s="178"/>
      <c r="H15" s="177"/>
      <c r="I15" s="178"/>
      <c r="J15" s="177"/>
      <c r="K15" s="178"/>
      <c r="L15" s="177"/>
      <c r="M15" s="184"/>
      <c r="N15" s="162"/>
    </row>
    <row r="16" spans="2:14" ht="15" customHeight="1" x14ac:dyDescent="0.2">
      <c r="B16" s="175" t="s">
        <v>8</v>
      </c>
      <c r="C16" s="176">
        <f>SUMIFS(INDEX(ExpIndex,0,MATCH(RIGHT(C$6,4),RevPeriod,0)),ExpFundRollup,"10",ExpObject,"100")</f>
        <v>3684714.06</v>
      </c>
      <c r="D16" s="177">
        <f>SUMIFS(INDEX(ExpIndex,0,MATCH(RIGHT(D$6,4),RevPeriod,0)),ExpFundRollup,"10",ExpObject,"100")</f>
        <v>3935903.18</v>
      </c>
      <c r="E16" s="178">
        <f>IF(C16=0,0,(D16-C16)/C16)</f>
        <v>6.8170586892161752E-2</v>
      </c>
      <c r="F16" s="177">
        <f>SUMIFS(INDEX(ExpIndex,0,MATCH(RIGHT(F$6,4),RevPeriod,0)),ExpFundRollup,"10",ExpObject,"100")</f>
        <v>3933584.23</v>
      </c>
      <c r="G16" s="178">
        <f>IF(D16=0,0,(F16-D16)/D16)</f>
        <v>-5.8917861897207194E-4</v>
      </c>
      <c r="H16" s="177">
        <f>SUMIFS(INDEX(ExpIndex,0,MATCH(RIGHT(H$6,4),RevPeriod,0)),ExpFundRollup,"10",ExpObject,"100")</f>
        <v>3985358.61</v>
      </c>
      <c r="I16" s="178">
        <f>IF(F16=0,0,(H16-F16)/F16)</f>
        <v>1.3162138388987768E-2</v>
      </c>
      <c r="J16" s="177">
        <f>SUMIFS(INDEX(ExpIndex,0,MATCH(RIGHT(J$6,4),RevPeriod,0)),ExpFundRollup,"10",ExpObject,"100")</f>
        <v>3736452.12</v>
      </c>
      <c r="K16" s="178">
        <f>IF(H16=0,0,(J16-H16)/H16)</f>
        <v>-6.2455230346259799E-2</v>
      </c>
      <c r="L16" s="177">
        <f>SUMIFS(INDEX(ExpIndex,0,MATCH(RIGHT(L$6,4),RevPeriod,0)),ExpFundRollup,"10",ExpObject,"100")</f>
        <v>3714390.95</v>
      </c>
      <c r="M16" s="184">
        <f>IF(J16=0,0,(L16-J16)/J16)</f>
        <v>-5.9043095673336037E-3</v>
      </c>
      <c r="N16" s="162"/>
    </row>
    <row r="17" spans="2:27" ht="15" customHeight="1" x14ac:dyDescent="0.2">
      <c r="B17" s="175" t="s">
        <v>9</v>
      </c>
      <c r="C17" s="176">
        <f>SUMIFS(INDEX(ExpIndex,0,MATCH(RIGHT(C$6,4),RevPeriod,0)),ExpFundRollup,"10",ExpObject,"200")</f>
        <v>940983.78</v>
      </c>
      <c r="D17" s="177">
        <f>SUMIFS(INDEX(ExpIndex,0,MATCH(RIGHT(D$6,4),RevPeriod,0)),ExpFundRollup,"10",ExpObject,"200")</f>
        <v>987677.34</v>
      </c>
      <c r="E17" s="178">
        <f t="shared" ref="E17:E23" si="5">IF(C17=0,0,(D17-C17)/C17)</f>
        <v>4.9622066811821068E-2</v>
      </c>
      <c r="F17" s="177">
        <f>SUMIFS(INDEX(ExpIndex,0,MATCH(RIGHT(F$6,4),RevPeriod,0)),ExpFundRollup,"10",ExpObject,"200")</f>
        <v>1022409.02</v>
      </c>
      <c r="G17" s="178">
        <f t="shared" ref="G17:G23" si="6">IF(D17=0,0,(F17-D17)/D17)</f>
        <v>3.516500641798672E-2</v>
      </c>
      <c r="H17" s="177">
        <f>SUMIFS(INDEX(ExpIndex,0,MATCH(RIGHT(H$6,4),RevPeriod,0)),ExpFundRollup,"10",ExpObject,"200")</f>
        <v>1082301.19</v>
      </c>
      <c r="I17" s="178">
        <f t="shared" ref="I17:I23" si="7">IF(F17=0,0,(H17-F17)/F17)</f>
        <v>5.8579461671807165E-2</v>
      </c>
      <c r="J17" s="177">
        <f>SUMIFS(INDEX(ExpIndex,0,MATCH(RIGHT(J$6,4),RevPeriod,0)),ExpFundRollup,"10",ExpObject,"200")</f>
        <v>979575.33</v>
      </c>
      <c r="K17" s="178">
        <f t="shared" ref="K17:K23" si="8">IF(H17=0,0,(J17-H17)/H17)</f>
        <v>-9.4914300149665357E-2</v>
      </c>
      <c r="L17" s="177">
        <f>SUMIFS(INDEX(ExpIndex,0,MATCH(RIGHT(L$6,4),RevPeriod,0)),ExpFundRollup,"10",ExpObject,"200")</f>
        <v>973889.26</v>
      </c>
      <c r="M17" s="184">
        <f t="shared" ref="M17:M23" si="9">IF(J17=0,0,(L17-J17)/J17)</f>
        <v>-5.8046276032696223E-3</v>
      </c>
      <c r="N17" s="162"/>
    </row>
    <row r="18" spans="2:27" ht="15" customHeight="1" x14ac:dyDescent="0.2">
      <c r="B18" s="175" t="s">
        <v>10</v>
      </c>
      <c r="C18" s="176">
        <f>SUMIFS(INDEX(ExpIndex,0,MATCH(RIGHT(C$6,4),RevPeriod,0)),ExpFundRollup,"10",ExpObject,"300")</f>
        <v>771731.56</v>
      </c>
      <c r="D18" s="177">
        <f>SUMIFS(INDEX(ExpIndex,0,MATCH(RIGHT(D$6,4),RevPeriod,0)),ExpFundRollup,"10",ExpObject,"300")</f>
        <v>1028921.6699999999</v>
      </c>
      <c r="E18" s="178">
        <f t="shared" si="5"/>
        <v>0.33326369340136852</v>
      </c>
      <c r="F18" s="177">
        <f>SUMIFS(INDEX(ExpIndex,0,MATCH(RIGHT(F$6,4),RevPeriod,0)),ExpFundRollup,"10",ExpObject,"300")</f>
        <v>778773.4</v>
      </c>
      <c r="G18" s="178">
        <f t="shared" si="6"/>
        <v>-0.24311692259333981</v>
      </c>
      <c r="H18" s="177">
        <f>SUMIFS(INDEX(ExpIndex,0,MATCH(RIGHT(H$6,4),RevPeriod,0)),ExpFundRollup,"10",ExpObject,"300")</f>
        <v>860112.48</v>
      </c>
      <c r="I18" s="178">
        <f t="shared" si="7"/>
        <v>0.10444511843881668</v>
      </c>
      <c r="J18" s="177">
        <f>SUMIFS(INDEX(ExpIndex,0,MATCH(RIGHT(J$6,4),RevPeriod,0)),ExpFundRollup,"10",ExpObject,"300")</f>
        <v>858576.4</v>
      </c>
      <c r="K18" s="178">
        <f t="shared" si="8"/>
        <v>-1.7859059549978373E-3</v>
      </c>
      <c r="L18" s="177">
        <f>SUMIFS(INDEX(ExpIndex,0,MATCH(RIGHT(L$6,4),RevPeriod,0)),ExpFundRollup,"10",ExpObject,"300")</f>
        <v>908847.93</v>
      </c>
      <c r="M18" s="184">
        <f t="shared" si="9"/>
        <v>5.8552191744380609E-2</v>
      </c>
      <c r="N18" s="162"/>
    </row>
    <row r="19" spans="2:27" ht="15" customHeight="1" x14ac:dyDescent="0.2">
      <c r="B19" s="175" t="s">
        <v>11</v>
      </c>
      <c r="C19" s="176">
        <f>SUMIFS(INDEX(ExpIndex,0,MATCH(RIGHT(C$6,4),RevPeriod,0)),ExpFundRollup,"10",ExpObject,"600")</f>
        <v>471634.93</v>
      </c>
      <c r="D19" s="177">
        <f>SUMIFS(INDEX(ExpIndex,0,MATCH(RIGHT(D$6,4),RevPeriod,0)),ExpFundRollup,"10",ExpObject,"600")</f>
        <v>484915.63</v>
      </c>
      <c r="E19" s="178">
        <f t="shared" si="5"/>
        <v>2.8158855833684777E-2</v>
      </c>
      <c r="F19" s="177">
        <f>SUMIFS(INDEX(ExpIndex,0,MATCH(RIGHT(F$6,4),RevPeriod,0)),ExpFundRollup,"10",ExpObject,"600")</f>
        <v>355802.11</v>
      </c>
      <c r="G19" s="178">
        <f t="shared" si="6"/>
        <v>-0.26625976151768921</v>
      </c>
      <c r="H19" s="177">
        <f>SUMIFS(INDEX(ExpIndex,0,MATCH(RIGHT(H$6,4),RevPeriod,0)),ExpFundRollup,"10",ExpObject,"600")</f>
        <v>357843.45</v>
      </c>
      <c r="I19" s="178">
        <f t="shared" si="7"/>
        <v>5.7372903156758283E-3</v>
      </c>
      <c r="J19" s="177">
        <f>SUMIFS(INDEX(ExpIndex,0,MATCH(RIGHT(J$6,4),RevPeriod,0)),ExpFundRollup,"10",ExpObject,"600")</f>
        <v>347678.57</v>
      </c>
      <c r="K19" s="178">
        <f t="shared" si="8"/>
        <v>-2.8405941201382907E-2</v>
      </c>
      <c r="L19" s="177">
        <f>SUMIFS(INDEX(ExpIndex,0,MATCH(RIGHT(L$6,4),RevPeriod,0)),ExpFundRollup,"10",ExpObject,"600")</f>
        <v>354632.17</v>
      </c>
      <c r="M19" s="184">
        <f t="shared" si="9"/>
        <v>2.0000082259887277E-2</v>
      </c>
      <c r="N19" s="162"/>
    </row>
    <row r="20" spans="2:27" ht="15" customHeight="1" x14ac:dyDescent="0.2">
      <c r="B20" s="175" t="s">
        <v>12</v>
      </c>
      <c r="C20" s="176">
        <f>SUMIFS(INDEX(ExpIndex,0,MATCH(RIGHT(C$6,4),RevPeriod,0)),ExpFundRollup,"10",ExpObject,"700")</f>
        <v>32142.92</v>
      </c>
      <c r="D20" s="177">
        <f>SUMIFS(INDEX(ExpIndex,0,MATCH(RIGHT(D$6,4),RevPeriod,0)),ExpFundRollup,"10",ExpObject,"700")</f>
        <v>106996.5</v>
      </c>
      <c r="E20" s="178">
        <f t="shared" si="5"/>
        <v>2.328773490398508</v>
      </c>
      <c r="F20" s="177">
        <f>SUMIFS(INDEX(ExpIndex,0,MATCH(RIGHT(F$6,4),RevPeriod,0)),ExpFundRollup,"10",ExpObject,"700")</f>
        <v>46111.58</v>
      </c>
      <c r="G20" s="178">
        <f t="shared" si="6"/>
        <v>-0.5690365572705649</v>
      </c>
      <c r="H20" s="177">
        <f>SUMIFS(INDEX(ExpIndex,0,MATCH(RIGHT(H$6,4),RevPeriod,0)),ExpFundRollup,"10",ExpObject,"700")</f>
        <v>104227.91</v>
      </c>
      <c r="I20" s="178">
        <f t="shared" si="7"/>
        <v>1.2603413285773335</v>
      </c>
      <c r="J20" s="177">
        <f>SUMIFS(INDEX(ExpIndex,0,MATCH(RIGHT(J$6,4),RevPeriod,0)),ExpFundRollup,"10",ExpObject,"700")</f>
        <v>8452.94</v>
      </c>
      <c r="K20" s="178">
        <f t="shared" si="8"/>
        <v>-0.91889945792830341</v>
      </c>
      <c r="L20" s="177">
        <f>SUMIFS(INDEX(ExpIndex,0,MATCH(RIGHT(L$6,4),RevPeriod,0)),ExpFundRollup,"10",ExpObject,"700")</f>
        <v>8622</v>
      </c>
      <c r="M20" s="184">
        <f t="shared" si="9"/>
        <v>2.0000141962441407E-2</v>
      </c>
      <c r="N20" s="162"/>
    </row>
    <row r="21" spans="2:27" ht="15" customHeight="1" x14ac:dyDescent="0.2">
      <c r="B21" s="175" t="s">
        <v>13</v>
      </c>
      <c r="C21" s="176">
        <f>SUMIFS(INDEX(ExpIndex,0,MATCH(RIGHT(C$6,4),RevPeriod,0)),ExpFundRollup,"10",ExpObject,"800")</f>
        <v>18087.400000000001</v>
      </c>
      <c r="D21" s="177">
        <f>SUMIFS(INDEX(ExpIndex,0,MATCH(RIGHT(D$6,4),RevPeriod,0)),ExpFundRollup,"10",ExpObject,"800")</f>
        <v>12157.66</v>
      </c>
      <c r="E21" s="178">
        <f t="shared" si="5"/>
        <v>-0.32783816358348911</v>
      </c>
      <c r="F21" s="177">
        <f>SUMIFS(INDEX(ExpIndex,0,MATCH(RIGHT(F$6,4),RevPeriod,0)),ExpFundRollup,"10",ExpObject,"800")</f>
        <v>14706.14</v>
      </c>
      <c r="G21" s="178">
        <f t="shared" si="6"/>
        <v>0.20961928529009691</v>
      </c>
      <c r="H21" s="177">
        <f>SUMIFS(INDEX(ExpIndex,0,MATCH(RIGHT(H$6,4),RevPeriod,0)),ExpFundRollup,"10",ExpObject,"800")</f>
        <v>25239.98</v>
      </c>
      <c r="I21" s="178">
        <f t="shared" si="7"/>
        <v>0.71628857062424267</v>
      </c>
      <c r="J21" s="177">
        <f>SUMIFS(INDEX(ExpIndex,0,MATCH(RIGHT(J$6,4),RevPeriod,0)),ExpFundRollup,"10",ExpObject,"800")</f>
        <v>39753.620000000003</v>
      </c>
      <c r="K21" s="178">
        <f t="shared" si="8"/>
        <v>0.57502581222330618</v>
      </c>
      <c r="L21" s="177">
        <f>SUMIFS(INDEX(ExpIndex,0,MATCH(RIGHT(L$6,4),RevPeriod,0)),ExpFundRollup,"10",ExpObject,"800")</f>
        <v>40548.69</v>
      </c>
      <c r="M21" s="184">
        <f t="shared" si="9"/>
        <v>1.9999939628139517E-2</v>
      </c>
      <c r="N21" s="162"/>
    </row>
    <row r="22" spans="2:27" ht="15" customHeight="1" x14ac:dyDescent="0.2">
      <c r="B22" s="175" t="s">
        <v>14</v>
      </c>
      <c r="C22" s="176">
        <f>SUMIFS(INDEX(ExpIndex,0,MATCH(RIGHT(C$6,4),RevPeriod,0)),ExpFundRollup,"10",ExpObject,"900")</f>
        <v>241211.81</v>
      </c>
      <c r="D22" s="177">
        <f>SUMIFS(INDEX(ExpIndex,0,MATCH(RIGHT(D$6,4),RevPeriod,0)),ExpFundRollup,"10",ExpObject,"900")</f>
        <v>234300.2</v>
      </c>
      <c r="E22" s="178">
        <f t="shared" si="5"/>
        <v>-2.8653696516766681E-2</v>
      </c>
      <c r="F22" s="177">
        <f>SUMIFS(INDEX(ExpIndex,0,MATCH(RIGHT(F$6,4),RevPeriod,0)),ExpFundRollup,"10",ExpObject,"900")</f>
        <v>246469.95</v>
      </c>
      <c r="G22" s="178">
        <f t="shared" si="6"/>
        <v>5.1940843413706E-2</v>
      </c>
      <c r="H22" s="177">
        <f>SUMIFS(INDEX(ExpIndex,0,MATCH(RIGHT(H$6,4),RevPeriod,0)),ExpFundRollup,"10",ExpObject,"900")</f>
        <v>232364</v>
      </c>
      <c r="I22" s="178">
        <f t="shared" si="7"/>
        <v>-5.723192624496419E-2</v>
      </c>
      <c r="J22" s="177">
        <f>SUMIFS(INDEX(ExpIndex,0,MATCH(RIGHT(J$6,4),RevPeriod,0)),ExpFundRollup,"10",ExpObject,"900")</f>
        <v>263172.78000000003</v>
      </c>
      <c r="K22" s="178">
        <f t="shared" si="8"/>
        <v>0.13258843882873433</v>
      </c>
      <c r="L22" s="177">
        <f>SUMIFS(INDEX(ExpIndex,0,MATCH(RIGHT(L$6,4),RevPeriod,0)),ExpFundRollup,"10",ExpObject,"900")</f>
        <v>230311</v>
      </c>
      <c r="M22" s="184">
        <f t="shared" si="9"/>
        <v>-0.12486770098336167</v>
      </c>
      <c r="N22" s="162"/>
    </row>
    <row r="23" spans="2:27" ht="15" customHeight="1" x14ac:dyDescent="0.2">
      <c r="B23" s="171" t="s">
        <v>15</v>
      </c>
      <c r="C23" s="180">
        <f>SUM(C16:C22)</f>
        <v>6160506.46</v>
      </c>
      <c r="D23" s="181">
        <f>SUM(D16:D22)</f>
        <v>6790872.1800000006</v>
      </c>
      <c r="E23" s="182">
        <f t="shared" si="5"/>
        <v>0.10232368460173658</v>
      </c>
      <c r="F23" s="181">
        <f>SUM(F16:F22)</f>
        <v>6397856.4300000006</v>
      </c>
      <c r="G23" s="182">
        <f t="shared" si="6"/>
        <v>-5.7874119786480792E-2</v>
      </c>
      <c r="H23" s="181">
        <f>SUM(H16:H22)</f>
        <v>6647447.6200000001</v>
      </c>
      <c r="I23" s="182">
        <f t="shared" si="7"/>
        <v>3.9011689732462385E-2</v>
      </c>
      <c r="J23" s="181">
        <f>SUM(J16:J22)</f>
        <v>6233661.7600000016</v>
      </c>
      <c r="K23" s="182">
        <f t="shared" si="8"/>
        <v>-6.2247329148567017E-2</v>
      </c>
      <c r="L23" s="181">
        <f>SUM(L16:L22)</f>
        <v>6231242</v>
      </c>
      <c r="M23" s="183">
        <f t="shared" si="9"/>
        <v>-3.8817633891025208E-4</v>
      </c>
      <c r="N23" s="162"/>
    </row>
    <row r="24" spans="2:27" ht="15" customHeight="1" x14ac:dyDescent="0.2">
      <c r="B24" s="171"/>
      <c r="C24" s="185"/>
      <c r="D24" s="186"/>
      <c r="E24" s="187"/>
      <c r="F24" s="186"/>
      <c r="G24" s="187"/>
      <c r="H24" s="186"/>
      <c r="I24" s="187"/>
      <c r="J24" s="186"/>
      <c r="K24" s="187"/>
      <c r="L24" s="186"/>
      <c r="M24" s="188"/>
      <c r="N24" s="162"/>
    </row>
    <row r="25" spans="2:27" ht="15" customHeight="1" x14ac:dyDescent="0.2">
      <c r="B25" s="171" t="s">
        <v>30</v>
      </c>
      <c r="C25" s="180">
        <f>C13-C23</f>
        <v>-445865.23000000138</v>
      </c>
      <c r="D25" s="181">
        <f>D13-D23</f>
        <v>-724785.99000000022</v>
      </c>
      <c r="E25" s="189"/>
      <c r="F25" s="181">
        <f>F13-F23</f>
        <v>-408751.93000000063</v>
      </c>
      <c r="G25" s="189"/>
      <c r="H25" s="181">
        <f>H13-H23</f>
        <v>-498022.51000000071</v>
      </c>
      <c r="I25" s="189"/>
      <c r="J25" s="181">
        <f>J13-J23</f>
        <v>-51276.380000001751</v>
      </c>
      <c r="K25" s="189"/>
      <c r="L25" s="181">
        <f>L13-L23</f>
        <v>517551.58000000101</v>
      </c>
      <c r="M25" s="190"/>
      <c r="N25" s="162"/>
      <c r="V25" s="7" t="str">
        <f>C6</f>
        <v>FY - 2013</v>
      </c>
      <c r="W25" s="7" t="str">
        <f>D6</f>
        <v>FY - 2014</v>
      </c>
      <c r="X25" s="7" t="str">
        <f>F6</f>
        <v>FY - 2015</v>
      </c>
      <c r="Y25" s="7" t="str">
        <f>H6</f>
        <v>FY - 2016</v>
      </c>
      <c r="Z25" s="7" t="str">
        <f>J6</f>
        <v>FY - 2017</v>
      </c>
      <c r="AA25" s="7" t="str">
        <f>L6</f>
        <v>FY - 2018</v>
      </c>
    </row>
    <row r="26" spans="2:27" ht="15" customHeight="1" x14ac:dyDescent="0.2">
      <c r="B26" s="161"/>
      <c r="C26" s="191"/>
      <c r="D26" s="192"/>
      <c r="E26" s="166"/>
      <c r="F26" s="192"/>
      <c r="G26" s="166"/>
      <c r="H26" s="192"/>
      <c r="I26" s="166"/>
      <c r="J26" s="192"/>
      <c r="K26" s="166"/>
      <c r="L26" s="192"/>
      <c r="M26" s="167"/>
      <c r="N26" s="162"/>
      <c r="U26" s="5" t="s">
        <v>174</v>
      </c>
      <c r="V26" s="7">
        <f>C25</f>
        <v>-445865.23000000138</v>
      </c>
      <c r="W26" s="7">
        <f>D25</f>
        <v>-724785.99000000022</v>
      </c>
      <c r="X26" s="7">
        <f>F25</f>
        <v>-408751.93000000063</v>
      </c>
      <c r="Y26" s="7">
        <f>H25</f>
        <v>-498022.51000000071</v>
      </c>
      <c r="Z26" s="7">
        <f>J25</f>
        <v>-51276.380000001751</v>
      </c>
      <c r="AA26" s="7">
        <f>L25</f>
        <v>517551.58000000101</v>
      </c>
    </row>
    <row r="27" spans="2:27" ht="15" customHeight="1" x14ac:dyDescent="0.2">
      <c r="B27" s="171" t="s">
        <v>177</v>
      </c>
      <c r="C27" s="180">
        <f>C29-C25</f>
        <v>2639242.2900000014</v>
      </c>
      <c r="D27" s="181">
        <f>C29</f>
        <v>2193377.06</v>
      </c>
      <c r="E27" s="189"/>
      <c r="F27" s="181">
        <f>D29</f>
        <v>1468591.07</v>
      </c>
      <c r="G27" s="189"/>
      <c r="H27" s="181">
        <f>F29</f>
        <v>1059839.1399999999</v>
      </c>
      <c r="I27" s="189"/>
      <c r="J27" s="181">
        <f>H29</f>
        <v>561816.63</v>
      </c>
      <c r="K27" s="189"/>
      <c r="L27" s="181">
        <f>J29</f>
        <v>510540.25</v>
      </c>
      <c r="M27" s="193"/>
      <c r="N27" s="162"/>
    </row>
    <row r="28" spans="2:27" ht="15" customHeight="1" x14ac:dyDescent="0.2">
      <c r="B28" s="171"/>
      <c r="C28" s="176"/>
      <c r="D28" s="177"/>
      <c r="E28" s="194"/>
      <c r="F28" s="177"/>
      <c r="G28" s="194"/>
      <c r="H28" s="177"/>
      <c r="I28" s="194"/>
      <c r="J28" s="177"/>
      <c r="K28" s="194"/>
      <c r="L28" s="177"/>
      <c r="M28" s="195"/>
      <c r="N28" s="162"/>
      <c r="U28" s="5" t="s">
        <v>179</v>
      </c>
      <c r="V28" s="7">
        <f>C29</f>
        <v>2193377.06</v>
      </c>
      <c r="W28" s="7">
        <f>D29</f>
        <v>1468591.07</v>
      </c>
      <c r="X28" s="7">
        <f>F29</f>
        <v>1059839.1399999999</v>
      </c>
      <c r="Y28" s="7">
        <f>H29</f>
        <v>561816.63</v>
      </c>
      <c r="Z28" s="7">
        <f>J29</f>
        <v>510540.25</v>
      </c>
      <c r="AA28" s="7">
        <f>L29</f>
        <v>1028091.830000001</v>
      </c>
    </row>
    <row r="29" spans="2:27" ht="15" customHeight="1" x14ac:dyDescent="0.2">
      <c r="B29" s="171" t="s">
        <v>178</v>
      </c>
      <c r="C29" s="180">
        <f>SUMIFS(INDEX(BalIndex,0,MATCH(RIGHT(C$6,4),BalPeriod,0)),BalFundRollup,"10")</f>
        <v>2193377.06</v>
      </c>
      <c r="D29" s="181">
        <f>SUMIFS(INDEX(BalIndex,0,MATCH(RIGHT(D$6,4),BalPeriod,0)),BalFundRollup,"10")</f>
        <v>1468591.07</v>
      </c>
      <c r="E29" s="196"/>
      <c r="F29" s="181">
        <f>SUMIFS(INDEX(BalIndex,0,MATCH(RIGHT(F$6,4),BalPeriod,0)),BalFundRollup,"10")</f>
        <v>1059839.1399999999</v>
      </c>
      <c r="G29" s="196"/>
      <c r="H29" s="181">
        <f>SUMIFS(INDEX(BalIndex,0,MATCH(RIGHT(H$6,4),BalPeriod,0)),BalFundRollup,"10")</f>
        <v>561816.63</v>
      </c>
      <c r="I29" s="196"/>
      <c r="J29" s="181">
        <f>SUMIFS(INDEX(BalIndex,0,MATCH(RIGHT(J$6,4),BalPeriod,0)),BalFundRollup,"10")</f>
        <v>510540.25</v>
      </c>
      <c r="K29" s="196"/>
      <c r="L29" s="181">
        <f>L27+L25</f>
        <v>1028091.830000001</v>
      </c>
      <c r="M29" s="193"/>
      <c r="N29" s="162"/>
    </row>
    <row r="30" spans="2:27" ht="15" customHeight="1" x14ac:dyDescent="0.2">
      <c r="B30" s="161"/>
      <c r="C30" s="170"/>
      <c r="D30" s="166"/>
      <c r="E30" s="166"/>
      <c r="F30" s="166"/>
      <c r="G30" s="166"/>
      <c r="H30" s="166"/>
      <c r="I30" s="166"/>
      <c r="J30" s="166"/>
      <c r="K30" s="166"/>
      <c r="L30" s="166"/>
      <c r="M30" s="167"/>
      <c r="N30" s="162"/>
      <c r="U30" s="5" t="s">
        <v>163</v>
      </c>
      <c r="V30" s="7">
        <f>C13</f>
        <v>5714641.2299999986</v>
      </c>
      <c r="W30" s="7">
        <f>D13</f>
        <v>6066086.1900000004</v>
      </c>
      <c r="X30" s="7">
        <f>F13</f>
        <v>5989104.5</v>
      </c>
      <c r="Y30" s="7">
        <f>H13</f>
        <v>6149425.1099999994</v>
      </c>
      <c r="Z30" s="7">
        <f>J13</f>
        <v>6182385.3799999999</v>
      </c>
      <c r="AA30" s="7">
        <f>L13</f>
        <v>6748793.580000001</v>
      </c>
    </row>
    <row r="31" spans="2:27" ht="15" customHeight="1" x14ac:dyDescent="0.2">
      <c r="B31" s="171" t="str">
        <f>IF($O$31=1,"FUND BALANCE AS % OF REVENUES","FUND BALANCE AS % OF EXPENDITURES")</f>
        <v>FUND BALANCE AS % OF EXPENDITURES</v>
      </c>
      <c r="C31" s="197">
        <f>IF(C23=0,0,C29/C23)</f>
        <v>0.3560384319441165</v>
      </c>
      <c r="D31" s="198">
        <f>IF(D23=0,0,D29/D23)</f>
        <v>0.21625956593987902</v>
      </c>
      <c r="E31" s="194"/>
      <c r="F31" s="198">
        <f>IF(F23=0,0,F29/F23)</f>
        <v>0.16565534903695858</v>
      </c>
      <c r="G31" s="194"/>
      <c r="H31" s="198">
        <f>IF(H23=0,0,H29/H23)</f>
        <v>8.4516142452883289E-2</v>
      </c>
      <c r="I31" s="194"/>
      <c r="J31" s="198">
        <f>IF(J23=0,0,J29/J23)</f>
        <v>8.1900537702578186E-2</v>
      </c>
      <c r="K31" s="194"/>
      <c r="L31" s="198">
        <f>IF(L23=0,0,L29/L23)</f>
        <v>0.16498987360786196</v>
      </c>
      <c r="M31" s="195"/>
      <c r="N31" s="162"/>
      <c r="U31" s="5" t="s">
        <v>94</v>
      </c>
      <c r="V31" s="7">
        <f>C23</f>
        <v>6160506.46</v>
      </c>
      <c r="W31" s="7">
        <f>D23</f>
        <v>6790872.1800000006</v>
      </c>
      <c r="X31" s="7">
        <f>F23</f>
        <v>6397856.4300000006</v>
      </c>
      <c r="Y31" s="7">
        <f>H23</f>
        <v>6647447.6200000001</v>
      </c>
      <c r="Z31" s="7">
        <f>J23</f>
        <v>6233661.7600000016</v>
      </c>
      <c r="AA31" s="7">
        <f>L23</f>
        <v>6231242</v>
      </c>
    </row>
    <row r="32" spans="2:27" ht="15" customHeight="1" x14ac:dyDescent="0.2">
      <c r="B32" s="171" t="s">
        <v>31</v>
      </c>
      <c r="C32" s="199">
        <f>IF(C23=0,0,C29/(C23/12))</f>
        <v>4.2724611833293977</v>
      </c>
      <c r="D32" s="200">
        <f>IF(D23=0,0,D29/(D23/12))</f>
        <v>2.5951147912785482</v>
      </c>
      <c r="E32" s="201"/>
      <c r="F32" s="200">
        <f>IF(F23=0,0,F29/(F23/12))</f>
        <v>1.9878641884435031</v>
      </c>
      <c r="G32" s="201"/>
      <c r="H32" s="200">
        <f>IF(H23=0,0,H29/(H23/12))</f>
        <v>1.0141937094345994</v>
      </c>
      <c r="I32" s="201"/>
      <c r="J32" s="200">
        <f>IF(J23=0,0,J29/(J23/12))</f>
        <v>0.98280645243093823</v>
      </c>
      <c r="K32" s="201"/>
      <c r="L32" s="200">
        <f>IF(L23=0,0,L29/(L23/12))</f>
        <v>1.9798784832943435</v>
      </c>
      <c r="M32" s="202"/>
      <c r="N32" s="162"/>
    </row>
    <row r="33" spans="2:27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2:27" x14ac:dyDescent="0.2">
      <c r="V34" s="7"/>
      <c r="W34" s="7"/>
      <c r="X34" s="7"/>
      <c r="Y34" s="7"/>
      <c r="Z34" s="7"/>
      <c r="AA34" s="7"/>
    </row>
    <row r="36" spans="2:27" x14ac:dyDescent="0.2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V36" s="7"/>
      <c r="W36" s="7"/>
      <c r="X36" s="7"/>
      <c r="Y36" s="7"/>
      <c r="Z36" s="7"/>
      <c r="AA36" s="7"/>
    </row>
    <row r="37" spans="2:27" x14ac:dyDescent="0.2"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</row>
    <row r="38" spans="2:27" x14ac:dyDescent="0.2"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V38" s="7"/>
      <c r="W38" s="7"/>
      <c r="X38" s="7"/>
      <c r="Y38" s="7"/>
      <c r="Z38" s="7"/>
      <c r="AA38" s="7"/>
    </row>
    <row r="39" spans="2:27" x14ac:dyDescent="0.2"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V39" s="7"/>
      <c r="W39" s="7"/>
      <c r="X39" s="7"/>
      <c r="Y39" s="7"/>
      <c r="Z39" s="7"/>
      <c r="AA39" s="7"/>
    </row>
    <row r="40" spans="2:27" x14ac:dyDescent="0.2"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</row>
    <row r="41" spans="2:27" x14ac:dyDescent="0.2">
      <c r="B41" s="1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2"/>
    </row>
    <row r="42" spans="2:27" x14ac:dyDescent="0.2">
      <c r="B42" s="1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2"/>
    </row>
    <row r="43" spans="2:27" x14ac:dyDescent="0.2"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</row>
    <row r="44" spans="2:27" x14ac:dyDescent="0.2"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"/>
    </row>
    <row r="45" spans="2:27" x14ac:dyDescent="0.2">
      <c r="B45" s="1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"/>
    </row>
    <row r="46" spans="2:27" x14ac:dyDescent="0.2"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2"/>
    </row>
    <row r="47" spans="2:27" x14ac:dyDescent="0.2"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</row>
    <row r="48" spans="2:27" x14ac:dyDescent="0.2">
      <c r="B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2"/>
    </row>
    <row r="49" spans="2:14" x14ac:dyDescent="0.2"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</row>
    <row r="50" spans="2:14" x14ac:dyDescent="0.2">
      <c r="B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</row>
    <row r="51" spans="2:14" x14ac:dyDescent="0.2">
      <c r="B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</row>
    <row r="52" spans="2:14" x14ac:dyDescent="0.2"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2"/>
    </row>
    <row r="53" spans="2:14" x14ac:dyDescent="0.2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"/>
    </row>
    <row r="54" spans="2:14" x14ac:dyDescent="0.2">
      <c r="B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2"/>
    </row>
    <row r="55" spans="2:14" x14ac:dyDescent="0.2"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2"/>
    </row>
    <row r="56" spans="2:14" x14ac:dyDescent="0.2">
      <c r="B56" s="1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2"/>
    </row>
    <row r="57" spans="2:14" x14ac:dyDescent="0.2">
      <c r="B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2"/>
    </row>
    <row r="58" spans="2:14" x14ac:dyDescent="0.2">
      <c r="B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2"/>
    </row>
    <row r="59" spans="2:14" x14ac:dyDescent="0.2"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2"/>
    </row>
    <row r="60" spans="2:14" x14ac:dyDescent="0.2">
      <c r="B60" s="1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2"/>
    </row>
    <row r="61" spans="2:14" x14ac:dyDescent="0.2"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2"/>
    </row>
    <row r="62" spans="2:14" x14ac:dyDescent="0.2"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</row>
    <row r="63" spans="2:14" x14ac:dyDescent="0.2"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2"/>
    </row>
    <row r="64" spans="2:14" x14ac:dyDescent="0.2">
      <c r="B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2"/>
    </row>
    <row r="65" spans="2:14" x14ac:dyDescent="0.2"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2"/>
    </row>
    <row r="66" spans="2:14" x14ac:dyDescent="0.2"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2"/>
    </row>
    <row r="67" spans="2:14" x14ac:dyDescent="0.2"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2"/>
    </row>
    <row r="68" spans="2:14" x14ac:dyDescent="0.2">
      <c r="B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2:14" x14ac:dyDescent="0.2">
      <c r="B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2:14" x14ac:dyDescent="0.2"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2:14" x14ac:dyDescent="0.2">
      <c r="B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2:14" x14ac:dyDescent="0.2">
      <c r="B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2"/>
    </row>
    <row r="73" spans="2:14" x14ac:dyDescent="0.2">
      <c r="B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2"/>
    </row>
    <row r="74" spans="2:14" x14ac:dyDescent="0.2">
      <c r="B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2"/>
    </row>
    <row r="75" spans="2:14" x14ac:dyDescent="0.2"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2"/>
    </row>
    <row r="76" spans="2:14" x14ac:dyDescent="0.2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</row>
  </sheetData>
  <mergeCells count="4">
    <mergeCell ref="C5:K5"/>
    <mergeCell ref="L5:M5"/>
    <mergeCell ref="B2:N2"/>
    <mergeCell ref="B3:N3"/>
  </mergeCells>
  <pageMargins left="0.7" right="0.7" top="0.75" bottom="0.75" header="0.3" footer="0.3"/>
  <pageSetup scale="50" orientation="landscape" r:id="rId1"/>
  <headerFooter>
    <oddFooter>&amp;L&amp;G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A76"/>
  <sheetViews>
    <sheetView tabSelected="1" zoomScale="60" zoomScaleNormal="60" workbookViewId="0">
      <selection activeCell="O30" sqref="O30"/>
    </sheetView>
  </sheetViews>
  <sheetFormatPr defaultColWidth="8.85546875" defaultRowHeight="12.75" x14ac:dyDescent="0.2"/>
  <cols>
    <col min="1" max="1" width="8.85546875" style="5" collapsed="1"/>
    <col min="2" max="2" width="59.28515625" style="5" bestFit="1" customWidth="1" collapsed="1"/>
    <col min="3" max="13" width="15.85546875" style="5" customWidth="1" collapsed="1"/>
    <col min="14" max="14" width="9.7109375" style="5" customWidth="1" collapsed="1"/>
    <col min="15" max="20" width="50.7109375" style="5" customWidth="1" collapsed="1"/>
    <col min="21" max="21" width="20.140625" style="5" bestFit="1" customWidth="1" collapsed="1"/>
    <col min="22" max="27" width="14" style="5" bestFit="1" customWidth="1" collapsed="1"/>
    <col min="28" max="16384" width="8.85546875" style="5" collapsed="1"/>
  </cols>
  <sheetData>
    <row r="1" spans="2:14" ht="69.75" customHeight="1" x14ac:dyDescent="0.2"/>
    <row r="2" spans="2:14" ht="42.6" customHeight="1" x14ac:dyDescent="0.2">
      <c r="B2" s="474" t="s">
        <v>2235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6"/>
    </row>
    <row r="3" spans="2:14" ht="30" customHeight="1" x14ac:dyDescent="0.2">
      <c r="B3" s="477" t="s">
        <v>16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9"/>
    </row>
    <row r="4" spans="2:14" ht="30" customHeight="1" x14ac:dyDescent="0.2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</row>
    <row r="5" spans="2:14" ht="15" customHeight="1" x14ac:dyDescent="0.2">
      <c r="B5" s="147"/>
      <c r="C5" s="155" t="s">
        <v>18</v>
      </c>
      <c r="D5" s="471" t="s">
        <v>17</v>
      </c>
      <c r="E5" s="471"/>
      <c r="F5" s="471"/>
      <c r="G5" s="471"/>
      <c r="H5" s="471"/>
      <c r="I5" s="471"/>
      <c r="J5" s="471"/>
      <c r="K5" s="471"/>
      <c r="L5" s="471"/>
      <c r="M5" s="480"/>
      <c r="N5" s="148"/>
    </row>
    <row r="6" spans="2:14" ht="15" customHeight="1" x14ac:dyDescent="0.2">
      <c r="B6" s="147"/>
      <c r="C6" s="156" t="str">
        <f>Admin2!P2</f>
        <v>FY - 2018</v>
      </c>
      <c r="D6" s="151" t="str">
        <f>Admin2!Q2</f>
        <v>FY - 2019</v>
      </c>
      <c r="E6" s="152" t="s">
        <v>543</v>
      </c>
      <c r="F6" s="151" t="str">
        <f>Admin2!R2</f>
        <v>FY - 2020</v>
      </c>
      <c r="G6" s="152" t="s">
        <v>543</v>
      </c>
      <c r="H6" s="151" t="str">
        <f>Admin2!S2</f>
        <v>FY - 2021</v>
      </c>
      <c r="I6" s="152" t="s">
        <v>543</v>
      </c>
      <c r="J6" s="151" t="str">
        <f>Admin2!T2</f>
        <v>FY - 2022</v>
      </c>
      <c r="K6" s="152" t="s">
        <v>543</v>
      </c>
      <c r="L6" s="151" t="str">
        <f>Admin2!U2</f>
        <v>FY - 2023</v>
      </c>
      <c r="M6" s="157" t="s">
        <v>543</v>
      </c>
      <c r="N6" s="148"/>
    </row>
    <row r="7" spans="2:14" ht="15" customHeight="1" x14ac:dyDescent="0.25">
      <c r="B7" s="163" t="s">
        <v>0</v>
      </c>
      <c r="C7" s="161"/>
      <c r="D7" s="164"/>
      <c r="E7" s="164"/>
      <c r="F7" s="164"/>
      <c r="G7" s="164"/>
      <c r="H7" s="164"/>
      <c r="I7" s="164"/>
      <c r="J7" s="164"/>
      <c r="K7" s="164"/>
      <c r="L7" s="164"/>
      <c r="M7" s="162"/>
      <c r="N7" s="148"/>
    </row>
    <row r="8" spans="2:14" ht="15" customHeight="1" x14ac:dyDescent="0.2">
      <c r="B8" s="165" t="s">
        <v>1</v>
      </c>
      <c r="C8" s="387">
        <f>SUMIFS(INDEX(RevIndex,0,MATCH(RIGHT(C$6,4),RevPeriod,0)),RevFundRollup,"10",RevSource,"1000")</f>
        <v>3509067.95</v>
      </c>
      <c r="D8" s="388">
        <f>SUMIFS(INDEX(RevIndex,0,MATCH(RIGHT(D$6,4),RevPeriod,0)),RevFundRollup,"10",RevSource,"1000")</f>
        <v>3650840.17</v>
      </c>
      <c r="E8" s="178">
        <f>IF(C8=0,0,(D8-C8)/C8)</f>
        <v>4.0401674182456264E-2</v>
      </c>
      <c r="F8" s="389">
        <f>SUMIFS(INDEX(RevIndex,0,MATCH(RIGHT(F$6,4),RevPeriod,0)),RevFundRollup,"10",RevSource,"1000")</f>
        <v>3758771.6200000006</v>
      </c>
      <c r="G8" s="390">
        <f>IF(D8=0,0,(F8-D8)/D8)</f>
        <v>2.9563455252548252E-2</v>
      </c>
      <c r="H8" s="389">
        <f>SUMIFS(INDEX(RevIndex,0,MATCH(RIGHT(H$6,4),RevPeriod,0)),RevFundRollup,"10",RevSource,"1000")</f>
        <v>3881195.8600000003</v>
      </c>
      <c r="I8" s="178">
        <f>IF(F8=0,0,(H8-F8)/F8)</f>
        <v>3.2570278904042523E-2</v>
      </c>
      <c r="J8" s="389">
        <f>SUMIFS(INDEX(RevIndex,0,MATCH(RIGHT(J$6,4),RevPeriod,0)),RevFundRollup,"10",RevSource,"1000")</f>
        <v>3992226.4199999995</v>
      </c>
      <c r="K8" s="178">
        <f>IF(H8=0,0,(J8-H8)/H8)</f>
        <v>2.8607306615028472E-2</v>
      </c>
      <c r="L8" s="389">
        <f>SUMIFS(INDEX(RevIndex,0,MATCH(RIGHT(L$6,4),RevPeriod,0)),RevFundRollup,"10",RevSource,"1000")</f>
        <v>4116965.8499999996</v>
      </c>
      <c r="M8" s="184">
        <f>IF(J8=0,0,(L8-J8)/J8)</f>
        <v>3.1245580003951827E-2</v>
      </c>
      <c r="N8" s="148"/>
    </row>
    <row r="9" spans="2:14" ht="15" customHeight="1" x14ac:dyDescent="0.2">
      <c r="B9" s="165" t="s">
        <v>2</v>
      </c>
      <c r="C9" s="387">
        <f>SUMIFS(INDEX(RevIndex,0,MATCH(RIGHT(C$6,4),RevPeriod,0)),RevFundRollup,"10",RevSource,"2000")</f>
        <v>0</v>
      </c>
      <c r="D9" s="388">
        <f>SUMIFS(INDEX(RevIndex,0,MATCH(RIGHT(D$6,4),RevPeriod,0)),RevFundRollup,"10",RevSource,"2000")</f>
        <v>0</v>
      </c>
      <c r="E9" s="178">
        <f t="shared" ref="E9:E13" si="0">IF(C9=0,0,(D9-C9)/C9)</f>
        <v>0</v>
      </c>
      <c r="F9" s="389">
        <f>SUMIFS(INDEX(RevIndex,0,MATCH(RIGHT(F$6,4),RevPeriod,0)),RevFundRollup,"10",RevSource,"2000")</f>
        <v>0</v>
      </c>
      <c r="G9" s="390">
        <f t="shared" ref="G9:K13" si="1">IF(D9=0,0,(F9-D9)/D9)</f>
        <v>0</v>
      </c>
      <c r="H9" s="389">
        <f>SUMIFS(INDEX(RevIndex,0,MATCH(RIGHT(H$6,4),RevPeriod,0)),RevFundRollup,"10",RevSource,"2000")</f>
        <v>0</v>
      </c>
      <c r="I9" s="178">
        <f t="shared" ref="I9:I12" si="2">IF(F9=0,0,(H9-F9)/F9)</f>
        <v>0</v>
      </c>
      <c r="J9" s="389">
        <f>SUMIFS(INDEX(RevIndex,0,MATCH(RIGHT(J$6,4),RevPeriod,0)),RevFundRollup,"10",RevSource,"2000")</f>
        <v>0</v>
      </c>
      <c r="K9" s="178">
        <f t="shared" ref="K9:K12" si="3">IF(H9=0,0,(J9-H9)/H9)</f>
        <v>0</v>
      </c>
      <c r="L9" s="389">
        <f>SUMIFS(INDEX(RevIndex,0,MATCH(RIGHT(L$6,4),RevPeriod,0)),RevFundRollup,"10",RevSource,"2000")</f>
        <v>0</v>
      </c>
      <c r="M9" s="184">
        <f t="shared" ref="M9:M12" si="4">IF(J9=0,0,(L9-J9)/J9)</f>
        <v>0</v>
      </c>
      <c r="N9" s="148"/>
    </row>
    <row r="10" spans="2:14" ht="15" customHeight="1" x14ac:dyDescent="0.2">
      <c r="B10" s="165" t="s">
        <v>3</v>
      </c>
      <c r="C10" s="387">
        <f>SUMIFS(INDEX(RevIndex,0,MATCH(RIGHT(C$6,4),RevPeriod,0)),RevFundRollup,"10",RevSource,"3000")</f>
        <v>3036636.69</v>
      </c>
      <c r="D10" s="388">
        <f>SUMIFS(INDEX(RevIndex,0,MATCH(RIGHT(D$6,4),RevPeriod,0)),RevFundRollup,"10",RevSource,"3000")</f>
        <v>2981691.79</v>
      </c>
      <c r="E10" s="178">
        <f t="shared" si="0"/>
        <v>-1.8093998594214414E-2</v>
      </c>
      <c r="F10" s="389">
        <f>SUMIFS(INDEX(RevIndex,0,MATCH(RIGHT(F$6,4),RevPeriod,0)),RevFundRollup,"10",RevSource,"3000")</f>
        <v>2875567.7600000002</v>
      </c>
      <c r="G10" s="390">
        <f t="shared" si="1"/>
        <v>-3.5591884565641101E-2</v>
      </c>
      <c r="H10" s="389">
        <f>SUMIFS(INDEX(RevIndex,0,MATCH(RIGHT(H$6,4),RevPeriod,0)),RevFundRollup,"10",RevSource,"3000")</f>
        <v>2762271.6300000004</v>
      </c>
      <c r="I10" s="178">
        <f t="shared" si="2"/>
        <v>-3.9399568869835942E-2</v>
      </c>
      <c r="J10" s="389">
        <f>SUMIFS(INDEX(RevIndex,0,MATCH(RIGHT(J$6,4),RevPeriod,0)),RevFundRollup,"10",RevSource,"3000")</f>
        <v>2677920.4399999995</v>
      </c>
      <c r="K10" s="178">
        <f t="shared" si="3"/>
        <v>-3.0536891840720552E-2</v>
      </c>
      <c r="L10" s="389">
        <f>SUMIFS(INDEX(RevIndex,0,MATCH(RIGHT(L$6,4),RevPeriod,0)),RevFundRollup,"10",RevSource,"3000")</f>
        <v>2628459.21</v>
      </c>
      <c r="M10" s="184">
        <f t="shared" si="4"/>
        <v>-1.8470014740243561E-2</v>
      </c>
      <c r="N10" s="148"/>
    </row>
    <row r="11" spans="2:14" ht="15" customHeight="1" x14ac:dyDescent="0.2">
      <c r="B11" s="165" t="s">
        <v>4</v>
      </c>
      <c r="C11" s="387">
        <f>SUMIFS(INDEX(RevIndex,0,MATCH(RIGHT(C$6,4),RevPeriod,0)),RevFundRollup,"10",RevSource,"4000")</f>
        <v>203088.94</v>
      </c>
      <c r="D11" s="388">
        <f>SUMIFS(INDEX(RevIndex,0,MATCH(RIGHT(D$6,4),RevPeriod,0)),RevFundRollup,"10",RevSource,"4000")</f>
        <v>206134.98</v>
      </c>
      <c r="E11" s="178">
        <f t="shared" si="0"/>
        <v>1.4998551865995302E-2</v>
      </c>
      <c r="F11" s="389">
        <f>SUMIFS(INDEX(RevIndex,0,MATCH(RIGHT(F$6,4),RevPeriod,0)),RevFundRollup,"10",RevSource,"4000")</f>
        <v>209226.37</v>
      </c>
      <c r="G11" s="390">
        <f t="shared" si="1"/>
        <v>1.4996920949564138E-2</v>
      </c>
      <c r="H11" s="389">
        <f>SUMIFS(INDEX(RevIndex,0,MATCH(RIGHT(H$6,4),RevPeriod,0)),RevFundRollup,"10",RevSource,"4000")</f>
        <v>212365.44</v>
      </c>
      <c r="I11" s="178">
        <f t="shared" si="2"/>
        <v>1.5003223542042081E-2</v>
      </c>
      <c r="J11" s="389">
        <f>SUMIFS(INDEX(RevIndex,0,MATCH(RIGHT(J$6,4),RevPeriod,0)),RevFundRollup,"10",RevSource,"4000")</f>
        <v>215551.48</v>
      </c>
      <c r="K11" s="178">
        <f t="shared" si="3"/>
        <v>1.500262942972269E-2</v>
      </c>
      <c r="L11" s="389">
        <f>SUMIFS(INDEX(RevIndex,0,MATCH(RIGHT(L$6,4),RevPeriod,0)),RevFundRollup,"10",RevSource,"4000")</f>
        <v>218783.75</v>
      </c>
      <c r="M11" s="184">
        <f t="shared" si="4"/>
        <v>1.4995350530648129E-2</v>
      </c>
      <c r="N11" s="148"/>
    </row>
    <row r="12" spans="2:14" ht="15" customHeight="1" x14ac:dyDescent="0.2">
      <c r="B12" s="165" t="s">
        <v>5</v>
      </c>
      <c r="C12" s="387">
        <f>SUMIFS(INDEX(RevIndex,0,MATCH(RIGHT(C$6,4),RevPeriod,0)),RevFundRollup,"10",RevSource,"9000")</f>
        <v>0</v>
      </c>
      <c r="D12" s="388">
        <f>SUMIFS(INDEX(RevIndex,0,MATCH(RIGHT(D$6,4),RevPeriod,0)),RevFundRollup,"10",RevSource,"9000")</f>
        <v>0</v>
      </c>
      <c r="E12" s="178">
        <f t="shared" si="0"/>
        <v>0</v>
      </c>
      <c r="F12" s="389">
        <f>SUMIFS(INDEX(RevIndex,0,MATCH(RIGHT(F$6,4),RevPeriod,0)),RevFundRollup,"10",RevSource,"9000")</f>
        <v>0</v>
      </c>
      <c r="G12" s="390">
        <f t="shared" si="1"/>
        <v>0</v>
      </c>
      <c r="H12" s="389">
        <f>SUMIFS(INDEX(RevIndex,0,MATCH(RIGHT(H$6,4),RevPeriod,0)),RevFundRollup,"10",RevSource,"9000")</f>
        <v>0</v>
      </c>
      <c r="I12" s="178">
        <f t="shared" si="2"/>
        <v>0</v>
      </c>
      <c r="J12" s="389">
        <f>SUMIFS(INDEX(RevIndex,0,MATCH(RIGHT(J$6,4),RevPeriod,0)),RevFundRollup,"10",RevSource,"9000")</f>
        <v>0</v>
      </c>
      <c r="K12" s="178">
        <f t="shared" si="3"/>
        <v>0</v>
      </c>
      <c r="L12" s="389">
        <f>SUMIFS(INDEX(RevIndex,0,MATCH(RIGHT(L$6,4),RevPeriod,0)),RevFundRollup,"10",RevSource,"9000")</f>
        <v>0</v>
      </c>
      <c r="M12" s="184">
        <f t="shared" si="4"/>
        <v>0</v>
      </c>
      <c r="N12" s="148"/>
    </row>
    <row r="13" spans="2:14" ht="15" customHeight="1" x14ac:dyDescent="0.25">
      <c r="B13" s="163" t="s">
        <v>6</v>
      </c>
      <c r="C13" s="391">
        <f>SUM(C8:C12)</f>
        <v>6748793.580000001</v>
      </c>
      <c r="D13" s="392">
        <f>SUM(D8:D12)</f>
        <v>6838666.9400000004</v>
      </c>
      <c r="E13" s="182">
        <f t="shared" si="0"/>
        <v>1.3316951975881798E-2</v>
      </c>
      <c r="F13" s="169">
        <f>SUM(F8:F12)</f>
        <v>6843565.7500000009</v>
      </c>
      <c r="G13" s="393">
        <f t="shared" si="1"/>
        <v>7.1633990117970581E-4</v>
      </c>
      <c r="H13" s="169">
        <f>SUM(H8:H12)</f>
        <v>6855832.9300000006</v>
      </c>
      <c r="I13" s="182">
        <f t="shared" si="1"/>
        <v>1.792512916238103E-3</v>
      </c>
      <c r="J13" s="169">
        <f>SUM(J8:J12)</f>
        <v>6885698.3399999999</v>
      </c>
      <c r="K13" s="182">
        <f t="shared" si="1"/>
        <v>4.3562044619426298E-3</v>
      </c>
      <c r="L13" s="169">
        <f>SUM(L8:L12)</f>
        <v>6964208.8099999996</v>
      </c>
      <c r="M13" s="183">
        <f>(L13-J13)/J13</f>
        <v>1.1401961881472685E-2</v>
      </c>
      <c r="N13" s="148"/>
    </row>
    <row r="14" spans="2:14" ht="15" customHeight="1" x14ac:dyDescent="0.2">
      <c r="B14" s="165"/>
      <c r="C14" s="394"/>
      <c r="D14" s="389"/>
      <c r="E14" s="178"/>
      <c r="F14" s="389"/>
      <c r="G14" s="390"/>
      <c r="H14" s="389"/>
      <c r="I14" s="178"/>
      <c r="J14" s="389"/>
      <c r="K14" s="178"/>
      <c r="L14" s="389"/>
      <c r="M14" s="184"/>
      <c r="N14" s="148"/>
    </row>
    <row r="15" spans="2:14" ht="15" customHeight="1" x14ac:dyDescent="0.25">
      <c r="B15" s="163" t="s">
        <v>7</v>
      </c>
      <c r="C15" s="394"/>
      <c r="D15" s="389"/>
      <c r="E15" s="178"/>
      <c r="F15" s="389"/>
      <c r="G15" s="390"/>
      <c r="H15" s="389"/>
      <c r="I15" s="178"/>
      <c r="J15" s="389"/>
      <c r="K15" s="178"/>
      <c r="L15" s="389"/>
      <c r="M15" s="184"/>
      <c r="N15" s="148"/>
    </row>
    <row r="16" spans="2:14" ht="15" customHeight="1" x14ac:dyDescent="0.2">
      <c r="B16" s="165" t="s">
        <v>8</v>
      </c>
      <c r="C16" s="394">
        <f>SUMIFS(INDEX(ExpIndex,0,MATCH(RIGHT(C$6,4),RevPeriod,0)),ExpFundRollup,"10",ExpObject,"100")</f>
        <v>3714390.95</v>
      </c>
      <c r="D16" s="389">
        <f>SUMIFS(INDEX(ExpIndex,0,MATCH(RIGHT(D$6,4),RevPeriod,0)),ExpFundRollup,"10",ExpObject,"100")</f>
        <v>3743841.19</v>
      </c>
      <c r="E16" s="178">
        <f>IF(C16=0,0,(D16-C16)/C16)</f>
        <v>7.9286861282062294E-3</v>
      </c>
      <c r="F16" s="389">
        <f>SUMIFS(INDEX(ExpIndex,0,MATCH(RIGHT(F$6,4),RevPeriod,0)),ExpFundRollup,"10",ExpObject,"100")</f>
        <v>3790579.91</v>
      </c>
      <c r="G16" s="390">
        <f>IF(D16=0,0,(F16-D16)/D16)</f>
        <v>1.2484162021840517E-2</v>
      </c>
      <c r="H16" s="389">
        <f>SUMIFS(INDEX(ExpIndex,0,MATCH(RIGHT(H$6,4),RevPeriod,0)),ExpFundRollup,"10",ExpObject,"100")</f>
        <v>3833960.3</v>
      </c>
      <c r="I16" s="178">
        <f>IF(F16=0,0,(H16-F16)/F16)</f>
        <v>1.1444262099727022E-2</v>
      </c>
      <c r="J16" s="389">
        <f>SUMIFS(INDEX(ExpIndex,0,MATCH(RIGHT(J$6,4),RevPeriod,0)),ExpFundRollup,"10",ExpObject,"100")</f>
        <v>3878143.48</v>
      </c>
      <c r="K16" s="178">
        <f>IF(H16=0,0,(J16-H16)/H16)</f>
        <v>1.1524162104651989E-2</v>
      </c>
      <c r="L16" s="389">
        <f>SUMIFS(INDEX(ExpIndex,0,MATCH(RIGHT(L$6,4),RevPeriod,0)),ExpFundRollup,"10",ExpObject,"100")</f>
        <v>3927369.81</v>
      </c>
      <c r="M16" s="184">
        <f>IF(J16=0,0,(L16-J16)/J16)</f>
        <v>1.2693271987966798E-2</v>
      </c>
      <c r="N16" s="148"/>
    </row>
    <row r="17" spans="2:27" ht="15" customHeight="1" x14ac:dyDescent="0.2">
      <c r="B17" s="165" t="s">
        <v>9</v>
      </c>
      <c r="C17" s="394">
        <f>SUMIFS(INDEX(ExpIndex,0,MATCH(RIGHT(C$6,4),RevPeriod,0)),ExpFundRollup,"10",ExpObject,"200")</f>
        <v>973889.26</v>
      </c>
      <c r="D17" s="389">
        <f>SUMIFS(INDEX(ExpIndex,0,MATCH(RIGHT(D$6,4),RevPeriod,0)),ExpFundRollup,"10",ExpObject,"200")</f>
        <v>1017643.65</v>
      </c>
      <c r="E17" s="178">
        <f t="shared" ref="E17:E23" si="5">IF(C17=0,0,(D17-C17)/C17)</f>
        <v>4.4927479742409328E-2</v>
      </c>
      <c r="F17" s="389">
        <f>SUMIFS(INDEX(ExpIndex,0,MATCH(RIGHT(F$6,4),RevPeriod,0)),ExpFundRollup,"10",ExpObject,"200")</f>
        <v>1034891.27</v>
      </c>
      <c r="G17" s="390">
        <f t="shared" ref="G17:G23" si="6">IF(D17=0,0,(F17-D17)/D17)</f>
        <v>1.6948585096561056E-2</v>
      </c>
      <c r="H17" s="389">
        <f>SUMIFS(INDEX(ExpIndex,0,MATCH(RIGHT(H$6,4),RevPeriod,0)),ExpFundRollup,"10",ExpObject,"200")</f>
        <v>1051727.25</v>
      </c>
      <c r="I17" s="178">
        <f t="shared" ref="I17:I23" si="7">IF(F17=0,0,(H17-F17)/F17)</f>
        <v>1.6268356384917599E-2</v>
      </c>
      <c r="J17" s="389">
        <f>SUMIFS(INDEX(ExpIndex,0,MATCH(RIGHT(J$6,4),RevPeriod,0)),ExpFundRollup,"10",ExpObject,"200")</f>
        <v>1085405.53</v>
      </c>
      <c r="K17" s="178">
        <f t="shared" ref="K17:K23" si="8">IF(H17=0,0,(J17-H17)/H17)</f>
        <v>3.2021876394283812E-2</v>
      </c>
      <c r="L17" s="389">
        <f>SUMIFS(INDEX(ExpIndex,0,MATCH(RIGHT(L$6,4),RevPeriod,0)),ExpFundRollup,"10",ExpObject,"200")</f>
        <v>1104213.98</v>
      </c>
      <c r="M17" s="184">
        <f t="shared" ref="M17:M23" si="9">IF(J17=0,0,(L17-J17)/J17)</f>
        <v>1.7328500251882772E-2</v>
      </c>
      <c r="N17" s="148"/>
    </row>
    <row r="18" spans="2:27" ht="15" customHeight="1" x14ac:dyDescent="0.2">
      <c r="B18" s="165" t="s">
        <v>10</v>
      </c>
      <c r="C18" s="394">
        <f>SUMIFS(INDEX(ExpIndex,0,MATCH(RIGHT(C$6,4),RevPeriod,0)),ExpFundRollup,"10",ExpObject,"300")</f>
        <v>908847.93</v>
      </c>
      <c r="D18" s="389">
        <f>SUMIFS(INDEX(ExpIndex,0,MATCH(RIGHT(D$6,4),RevPeriod,0)),ExpFundRollup,"10",ExpObject,"300")</f>
        <v>922283.42</v>
      </c>
      <c r="E18" s="178">
        <f t="shared" si="5"/>
        <v>1.4782990153259181E-2</v>
      </c>
      <c r="F18" s="389">
        <f>SUMIFS(INDEX(ExpIndex,0,MATCH(RIGHT(F$6,4),RevPeriod,0)),ExpFundRollup,"10",ExpObject,"300")</f>
        <v>931892.38</v>
      </c>
      <c r="G18" s="390">
        <f t="shared" si="6"/>
        <v>1.0418662844443156E-2</v>
      </c>
      <c r="H18" s="389">
        <f>SUMIFS(INDEX(ExpIndex,0,MATCH(RIGHT(H$6,4),RevPeriod,0)),ExpFundRollup,"10",ExpObject,"300")</f>
        <v>941463.08</v>
      </c>
      <c r="I18" s="178">
        <f t="shared" si="7"/>
        <v>1.0270177335284096E-2</v>
      </c>
      <c r="J18" s="389">
        <f>SUMIFS(INDEX(ExpIndex,0,MATCH(RIGHT(J$6,4),RevPeriod,0)),ExpFundRollup,"10",ExpObject,"300")</f>
        <v>951136.05</v>
      </c>
      <c r="K18" s="178">
        <f t="shared" si="8"/>
        <v>1.027440183846624E-2</v>
      </c>
      <c r="L18" s="389">
        <f>SUMIFS(INDEX(ExpIndex,0,MATCH(RIGHT(L$6,4),RevPeriod,0)),ExpFundRollup,"10",ExpObject,"300")</f>
        <v>961080.66</v>
      </c>
      <c r="M18" s="184">
        <f t="shared" si="9"/>
        <v>1.0455507390346508E-2</v>
      </c>
      <c r="N18" s="148"/>
    </row>
    <row r="19" spans="2:27" ht="15" customHeight="1" x14ac:dyDescent="0.2">
      <c r="B19" s="165" t="s">
        <v>11</v>
      </c>
      <c r="C19" s="394">
        <f>SUMIFS(INDEX(ExpIndex,0,MATCH(RIGHT(C$6,4),RevPeriod,0)),ExpFundRollup,"10",ExpObject,"600")</f>
        <v>354632.17</v>
      </c>
      <c r="D19" s="389">
        <f>SUMIFS(INDEX(ExpIndex,0,MATCH(RIGHT(D$6,4),RevPeriod,0)),ExpFundRollup,"10",ExpObject,"600")</f>
        <v>367812.05</v>
      </c>
      <c r="E19" s="178">
        <f t="shared" si="5"/>
        <v>3.7164930637849369E-2</v>
      </c>
      <c r="F19" s="389">
        <f>SUMIFS(INDEX(ExpIndex,0,MATCH(RIGHT(F$6,4),RevPeriod,0)),ExpFundRollup,"10",ExpObject,"600")</f>
        <v>373311.48</v>
      </c>
      <c r="G19" s="390">
        <f t="shared" si="6"/>
        <v>1.4951739618101128E-2</v>
      </c>
      <c r="H19" s="389">
        <f>SUMIFS(INDEX(ExpIndex,0,MATCH(RIGHT(H$6,4),RevPeriod,0)),ExpFundRollup,"10",ExpObject,"600")</f>
        <v>378893.63</v>
      </c>
      <c r="I19" s="178">
        <f t="shared" si="7"/>
        <v>1.495306278821113E-2</v>
      </c>
      <c r="J19" s="389">
        <f>SUMIFS(INDEX(ExpIndex,0,MATCH(RIGHT(J$6,4),RevPeriod,0)),ExpFundRollup,"10",ExpObject,"600")</f>
        <v>384559.24</v>
      </c>
      <c r="K19" s="178">
        <f t="shared" si="8"/>
        <v>1.495303576362576E-2</v>
      </c>
      <c r="L19" s="389">
        <f>SUMIFS(INDEX(ExpIndex,0,MATCH(RIGHT(L$6,4),RevPeriod,0)),ExpFundRollup,"10",ExpObject,"600")</f>
        <v>390309.91</v>
      </c>
      <c r="M19" s="184">
        <f t="shared" si="9"/>
        <v>1.4953924914143225E-2</v>
      </c>
      <c r="N19" s="148"/>
    </row>
    <row r="20" spans="2:27" ht="15" customHeight="1" x14ac:dyDescent="0.2">
      <c r="B20" s="165" t="s">
        <v>12</v>
      </c>
      <c r="C20" s="394">
        <f>SUMIFS(INDEX(ExpIndex,0,MATCH(RIGHT(C$6,4),RevPeriod,0)),ExpFundRollup,"10",ExpObject,"700")</f>
        <v>8622</v>
      </c>
      <c r="D20" s="389">
        <f>SUMIFS(INDEX(ExpIndex,0,MATCH(RIGHT(D$6,4),RevPeriod,0)),ExpFundRollup,"10",ExpObject,"700")</f>
        <v>8329.07</v>
      </c>
      <c r="E20" s="178">
        <f t="shared" si="5"/>
        <v>-3.3974715843191866E-2</v>
      </c>
      <c r="F20" s="389">
        <f>SUMIFS(INDEX(ExpIndex,0,MATCH(RIGHT(F$6,4),RevPeriod,0)),ExpFundRollup,"10",ExpObject,"700")</f>
        <v>8453.9500000000007</v>
      </c>
      <c r="G20" s="390">
        <f t="shared" si="6"/>
        <v>1.4993270557217196E-2</v>
      </c>
      <c r="H20" s="389">
        <f>SUMIFS(INDEX(ExpIndex,0,MATCH(RIGHT(H$6,4),RevPeriod,0)),ExpFundRollup,"10",ExpObject,"700")</f>
        <v>8580.65</v>
      </c>
      <c r="I20" s="178">
        <f t="shared" si="7"/>
        <v>1.4987077046824135E-2</v>
      </c>
      <c r="J20" s="389">
        <f>SUMIFS(INDEX(ExpIndex,0,MATCH(RIGHT(J$6,4),RevPeriod,0)),ExpFundRollup,"10",ExpObject,"700")</f>
        <v>8709.61</v>
      </c>
      <c r="K20" s="178">
        <f t="shared" si="8"/>
        <v>1.5029164457238198E-2</v>
      </c>
      <c r="L20" s="389">
        <f>SUMIFS(INDEX(ExpIndex,0,MATCH(RIGHT(L$6,4),RevPeriod,0)),ExpFundRollup,"10",ExpObject,"700")</f>
        <v>8839.99</v>
      </c>
      <c r="M20" s="184">
        <f t="shared" si="9"/>
        <v>1.4969671431900991E-2</v>
      </c>
      <c r="N20" s="148"/>
    </row>
    <row r="21" spans="2:27" ht="15" customHeight="1" x14ac:dyDescent="0.2">
      <c r="B21" s="165" t="s">
        <v>13</v>
      </c>
      <c r="C21" s="394">
        <f>SUMIFS(INDEX(ExpIndex,0,MATCH(RIGHT(C$6,4),RevPeriod,0)),ExpFundRollup,"10",ExpObject,"800")</f>
        <v>40548.69</v>
      </c>
      <c r="D21" s="389">
        <f>SUMIFS(INDEX(ExpIndex,0,MATCH(RIGHT(D$6,4),RevPeriod,0)),ExpFundRollup,"10",ExpObject,"800")</f>
        <v>41017.07</v>
      </c>
      <c r="E21" s="178">
        <f t="shared" si="5"/>
        <v>1.1551051340992703E-2</v>
      </c>
      <c r="F21" s="389">
        <f>SUMIFS(INDEX(ExpIndex,0,MATCH(RIGHT(F$6,4),RevPeriod,0)),ExpFundRollup,"10",ExpObject,"800")</f>
        <v>41545.43</v>
      </c>
      <c r="G21" s="390">
        <f t="shared" si="6"/>
        <v>1.2881466179812468E-2</v>
      </c>
      <c r="H21" s="389">
        <f>SUMIFS(INDEX(ExpIndex,0,MATCH(RIGHT(H$6,4),RevPeriod,0)),ExpFundRollup,"10",ExpObject,"800")</f>
        <v>42067.18</v>
      </c>
      <c r="I21" s="178">
        <f t="shared" si="7"/>
        <v>1.255854133655615E-2</v>
      </c>
      <c r="J21" s="389">
        <f>SUMIFS(INDEX(ExpIndex,0,MATCH(RIGHT(J$6,4),RevPeriod,0)),ExpFundRollup,"10",ExpObject,"800")</f>
        <v>42596.53</v>
      </c>
      <c r="K21" s="178">
        <f t="shared" si="8"/>
        <v>1.2583443910430852E-2</v>
      </c>
      <c r="L21" s="389">
        <f>SUMIFS(INDEX(ExpIndex,0,MATCH(RIGHT(L$6,4),RevPeriod,0)),ExpFundRollup,"10",ExpObject,"800")</f>
        <v>43150.27</v>
      </c>
      <c r="M21" s="184">
        <f t="shared" si="9"/>
        <v>1.2999650441010053E-2</v>
      </c>
      <c r="N21" s="148"/>
    </row>
    <row r="22" spans="2:27" ht="15" customHeight="1" x14ac:dyDescent="0.2">
      <c r="B22" s="165" t="s">
        <v>14</v>
      </c>
      <c r="C22" s="394">
        <f>SUMIFS(INDEX(ExpIndex,0,MATCH(RIGHT(C$6,4),RevPeriod,0)),ExpFundRollup,"10",ExpObject,"900")</f>
        <v>230311</v>
      </c>
      <c r="D22" s="389">
        <f>SUMIFS(INDEX(ExpIndex,0,MATCH(RIGHT(D$6,4),RevPeriod,0)),ExpFundRollup,"10",ExpObject,"900")</f>
        <v>250280</v>
      </c>
      <c r="E22" s="178">
        <f t="shared" si="5"/>
        <v>8.6704499567975477E-2</v>
      </c>
      <c r="F22" s="389">
        <f>SUMIFS(INDEX(ExpIndex,0,MATCH(RIGHT(F$6,4),RevPeriod,0)),ExpFundRollup,"10",ExpObject,"900")</f>
        <v>248953</v>
      </c>
      <c r="G22" s="390">
        <f t="shared" si="6"/>
        <v>-5.302061690906185E-3</v>
      </c>
      <c r="H22" s="389">
        <f>SUMIFS(INDEX(ExpIndex,0,MATCH(RIGHT(H$6,4),RevPeriod,0)),ExpFundRollup,"10",ExpObject,"900")</f>
        <v>247443</v>
      </c>
      <c r="I22" s="178">
        <f t="shared" si="7"/>
        <v>-6.0654019031704783E-3</v>
      </c>
      <c r="J22" s="389">
        <f>SUMIFS(INDEX(ExpIndex,0,MATCH(RIGHT(J$6,4),RevPeriod,0)),ExpFundRollup,"10",ExpObject,"900")</f>
        <v>246496</v>
      </c>
      <c r="K22" s="178">
        <f t="shared" si="8"/>
        <v>-3.8271440291299409E-3</v>
      </c>
      <c r="L22" s="389">
        <f>SUMIFS(INDEX(ExpIndex,0,MATCH(RIGHT(L$6,4),RevPeriod,0)),ExpFundRollup,"10",ExpObject,"900")</f>
        <v>246316</v>
      </c>
      <c r="M22" s="184">
        <f t="shared" si="9"/>
        <v>-7.3023497338699206E-4</v>
      </c>
      <c r="N22" s="148"/>
    </row>
    <row r="23" spans="2:27" ht="15" customHeight="1" x14ac:dyDescent="0.25">
      <c r="B23" s="163" t="s">
        <v>15</v>
      </c>
      <c r="C23" s="168">
        <f>SUM(C16:C22)</f>
        <v>6231242</v>
      </c>
      <c r="D23" s="169">
        <f>SUM(D16:D22)</f>
        <v>6351206.4500000002</v>
      </c>
      <c r="E23" s="182">
        <f t="shared" si="5"/>
        <v>1.9252092921443299E-2</v>
      </c>
      <c r="F23" s="169">
        <f>SUM(F16:F22)</f>
        <v>6429627.419999999</v>
      </c>
      <c r="G23" s="393">
        <f t="shared" si="6"/>
        <v>1.2347413143844316E-2</v>
      </c>
      <c r="H23" s="169">
        <f>SUM(H16:H22)</f>
        <v>6504135.0899999999</v>
      </c>
      <c r="I23" s="182">
        <f t="shared" si="7"/>
        <v>1.158817846400202E-2</v>
      </c>
      <c r="J23" s="169">
        <f>SUM(J16:J22)</f>
        <v>6597046.4400000004</v>
      </c>
      <c r="K23" s="182">
        <f t="shared" si="8"/>
        <v>1.4284966212164046E-2</v>
      </c>
      <c r="L23" s="169">
        <f>SUM(L16:L22)</f>
        <v>6681280.6200000001</v>
      </c>
      <c r="M23" s="183">
        <f t="shared" si="9"/>
        <v>1.2768468551208152E-2</v>
      </c>
      <c r="N23" s="148"/>
    </row>
    <row r="24" spans="2:27" ht="15" customHeight="1" x14ac:dyDescent="0.2">
      <c r="B24" s="165"/>
      <c r="C24" s="394"/>
      <c r="D24" s="389"/>
      <c r="E24" s="194"/>
      <c r="F24" s="389"/>
      <c r="G24" s="194"/>
      <c r="H24" s="389"/>
      <c r="I24" s="194"/>
      <c r="J24" s="389"/>
      <c r="K24" s="194"/>
      <c r="L24" s="389"/>
      <c r="M24" s="195"/>
      <c r="N24" s="148"/>
    </row>
    <row r="25" spans="2:27" ht="15" customHeight="1" x14ac:dyDescent="0.25">
      <c r="B25" s="163" t="s">
        <v>30</v>
      </c>
      <c r="C25" s="180">
        <f>C13-C23</f>
        <v>517551.58000000101</v>
      </c>
      <c r="D25" s="181">
        <f>D13-D23</f>
        <v>487460.49000000022</v>
      </c>
      <c r="E25" s="181"/>
      <c r="F25" s="181">
        <f>F13-F23</f>
        <v>413938.33000000194</v>
      </c>
      <c r="G25" s="181"/>
      <c r="H25" s="181">
        <f>H13-H23</f>
        <v>351697.84000000078</v>
      </c>
      <c r="I25" s="181"/>
      <c r="J25" s="181">
        <f>J13-J23</f>
        <v>288651.89999999944</v>
      </c>
      <c r="K25" s="181"/>
      <c r="L25" s="181">
        <f>L13-L23</f>
        <v>282928.18999999948</v>
      </c>
      <c r="M25" s="467"/>
      <c r="N25" s="148"/>
      <c r="V25" s="7" t="str">
        <f>C6</f>
        <v>FY - 2018</v>
      </c>
      <c r="W25" s="7" t="str">
        <f>D6</f>
        <v>FY - 2019</v>
      </c>
      <c r="X25" s="7" t="str">
        <f>F6</f>
        <v>FY - 2020</v>
      </c>
      <c r="Y25" s="7" t="str">
        <f>H6</f>
        <v>FY - 2021</v>
      </c>
      <c r="Z25" s="7" t="str">
        <f>J6</f>
        <v>FY - 2022</v>
      </c>
      <c r="AA25" s="7" t="str">
        <f>L6</f>
        <v>FY - 2023</v>
      </c>
    </row>
    <row r="26" spans="2:27" ht="15" customHeight="1" x14ac:dyDescent="0.2">
      <c r="B26" s="165"/>
      <c r="C26" s="444"/>
      <c r="D26" s="445"/>
      <c r="E26" s="446"/>
      <c r="F26" s="445"/>
      <c r="G26" s="446"/>
      <c r="H26" s="445"/>
      <c r="I26" s="446"/>
      <c r="J26" s="445"/>
      <c r="K26" s="446"/>
      <c r="L26" s="445"/>
      <c r="M26" s="447"/>
      <c r="N26" s="148"/>
      <c r="U26" s="5" t="s">
        <v>174</v>
      </c>
      <c r="V26" s="7">
        <f>C25</f>
        <v>517551.58000000101</v>
      </c>
      <c r="W26" s="7">
        <f>D25</f>
        <v>487460.49000000022</v>
      </c>
      <c r="X26" s="7">
        <f>F25</f>
        <v>413938.33000000194</v>
      </c>
      <c r="Y26" s="7">
        <f>H25</f>
        <v>351697.84000000078</v>
      </c>
      <c r="Z26" s="7">
        <f>J25</f>
        <v>288651.89999999944</v>
      </c>
      <c r="AA26" s="7">
        <f>L25</f>
        <v>282928.18999999948</v>
      </c>
    </row>
    <row r="27" spans="2:27" ht="15" customHeight="1" x14ac:dyDescent="0.25">
      <c r="B27" s="163" t="s">
        <v>177</v>
      </c>
      <c r="C27" s="180">
        <f>'10H'!L27</f>
        <v>510540.25</v>
      </c>
      <c r="D27" s="181">
        <f>C29</f>
        <v>1028091.830000001</v>
      </c>
      <c r="E27" s="181"/>
      <c r="F27" s="181">
        <f>D29</f>
        <v>1515552.3200000012</v>
      </c>
      <c r="G27" s="181"/>
      <c r="H27" s="181">
        <f>F29</f>
        <v>1929490.6500000032</v>
      </c>
      <c r="I27" s="181"/>
      <c r="J27" s="181">
        <f>H29</f>
        <v>2281188.4900000039</v>
      </c>
      <c r="K27" s="181"/>
      <c r="L27" s="181">
        <f>J29</f>
        <v>2569840.3900000034</v>
      </c>
      <c r="M27" s="467"/>
      <c r="N27" s="148"/>
    </row>
    <row r="28" spans="2:27" ht="15" customHeight="1" x14ac:dyDescent="0.2">
      <c r="B28" s="165"/>
      <c r="C28" s="394"/>
      <c r="D28" s="389"/>
      <c r="E28" s="194"/>
      <c r="F28" s="389"/>
      <c r="G28" s="194"/>
      <c r="H28" s="389"/>
      <c r="I28" s="194"/>
      <c r="J28" s="389"/>
      <c r="K28" s="194"/>
      <c r="L28" s="389"/>
      <c r="M28" s="195"/>
      <c r="N28" s="148"/>
      <c r="U28" s="5" t="s">
        <v>179</v>
      </c>
      <c r="V28" s="7">
        <f>C29</f>
        <v>1028091.830000001</v>
      </c>
      <c r="W28" s="7">
        <f>D29</f>
        <v>1515552.3200000012</v>
      </c>
      <c r="X28" s="7">
        <f>F29</f>
        <v>1929490.6500000032</v>
      </c>
      <c r="Y28" s="7">
        <f>H29</f>
        <v>2281188.4900000039</v>
      </c>
      <c r="Z28" s="7">
        <f>J29</f>
        <v>2569840.3900000034</v>
      </c>
      <c r="AA28" s="7">
        <f>L29</f>
        <v>2852768.5800000029</v>
      </c>
    </row>
    <row r="29" spans="2:27" ht="15" customHeight="1" x14ac:dyDescent="0.25">
      <c r="B29" s="163" t="s">
        <v>180</v>
      </c>
      <c r="C29" s="180">
        <f>'10H'!L29</f>
        <v>1028091.830000001</v>
      </c>
      <c r="D29" s="181">
        <f>D27+D25</f>
        <v>1515552.3200000012</v>
      </c>
      <c r="E29" s="468"/>
      <c r="F29" s="181">
        <f>F27+F25</f>
        <v>1929490.6500000032</v>
      </c>
      <c r="G29" s="468"/>
      <c r="H29" s="181">
        <f>H27+H25</f>
        <v>2281188.4900000039</v>
      </c>
      <c r="I29" s="468"/>
      <c r="J29" s="181">
        <f>J27+J25</f>
        <v>2569840.3900000034</v>
      </c>
      <c r="K29" s="468"/>
      <c r="L29" s="181">
        <f>L27+L25</f>
        <v>2852768.5800000029</v>
      </c>
      <c r="M29" s="469"/>
      <c r="N29" s="148"/>
    </row>
    <row r="30" spans="2:27" ht="15" customHeight="1" x14ac:dyDescent="0.2">
      <c r="B30" s="165"/>
      <c r="C30" s="395"/>
      <c r="D30" s="194"/>
      <c r="E30" s="194"/>
      <c r="F30" s="194"/>
      <c r="G30" s="194"/>
      <c r="H30" s="194"/>
      <c r="I30" s="194"/>
      <c r="J30" s="194"/>
      <c r="K30" s="194"/>
      <c r="L30" s="194"/>
      <c r="M30" s="195"/>
      <c r="N30" s="148"/>
      <c r="U30" s="5" t="s">
        <v>163</v>
      </c>
      <c r="V30" s="7">
        <f>C13</f>
        <v>6748793.580000001</v>
      </c>
      <c r="W30" s="7">
        <f>D13</f>
        <v>6838666.9400000004</v>
      </c>
      <c r="X30" s="7">
        <f>F13</f>
        <v>6843565.7500000009</v>
      </c>
      <c r="Y30" s="7">
        <f>H13</f>
        <v>6855832.9300000006</v>
      </c>
      <c r="Z30" s="7">
        <f>J13</f>
        <v>6885698.3399999999</v>
      </c>
      <c r="AA30" s="7">
        <f>L13</f>
        <v>6964208.8099999996</v>
      </c>
    </row>
    <row r="31" spans="2:27" ht="15" customHeight="1" x14ac:dyDescent="0.25">
      <c r="B31" s="163" t="s">
        <v>181</v>
      </c>
      <c r="C31" s="396">
        <f>IF(C23=0,0,C29/C23)</f>
        <v>0.16498987360786196</v>
      </c>
      <c r="D31" s="397">
        <f>IF(D23=0,0,D29/D23)</f>
        <v>0.23862431995105451</v>
      </c>
      <c r="E31" s="397"/>
      <c r="F31" s="397">
        <f>IF(F23=0,0,F29/F23)</f>
        <v>0.30009369500915861</v>
      </c>
      <c r="G31" s="397"/>
      <c r="H31" s="397">
        <f>IF(H23=0,0,H29/H23)</f>
        <v>0.35072895295598849</v>
      </c>
      <c r="I31" s="397"/>
      <c r="J31" s="397">
        <f>IF(J23=0,0,J29/J23)</f>
        <v>0.38954408057797502</v>
      </c>
      <c r="K31" s="397"/>
      <c r="L31" s="397">
        <f>IF(L23=0,0,L29/L23)</f>
        <v>0.42697930864637185</v>
      </c>
      <c r="M31" s="398"/>
      <c r="N31" s="148"/>
      <c r="U31" s="5" t="s">
        <v>94</v>
      </c>
      <c r="V31" s="7">
        <f>C23</f>
        <v>6231242</v>
      </c>
      <c r="W31" s="7">
        <f>D23</f>
        <v>6351206.4500000002</v>
      </c>
      <c r="X31" s="7">
        <f>F23</f>
        <v>6429627.419999999</v>
      </c>
      <c r="Y31" s="7">
        <f>H23</f>
        <v>6504135.0899999999</v>
      </c>
      <c r="Z31" s="7">
        <f>J23</f>
        <v>6597046.4400000004</v>
      </c>
      <c r="AA31" s="7">
        <f>L23</f>
        <v>6681280.6200000001</v>
      </c>
    </row>
    <row r="32" spans="2:27" ht="15" customHeight="1" x14ac:dyDescent="0.25">
      <c r="B32" s="163" t="s">
        <v>31</v>
      </c>
      <c r="C32" s="199">
        <f>IF(C23=0,0,C29/(C23/12))</f>
        <v>1.9798784832943435</v>
      </c>
      <c r="D32" s="200">
        <f>IF(D23=0,0,D29/(D23/12))</f>
        <v>2.8634918394126543</v>
      </c>
      <c r="E32" s="200"/>
      <c r="F32" s="200">
        <f>IF(F23=0,0,F29/(F23/12))</f>
        <v>3.6011243401099033</v>
      </c>
      <c r="G32" s="200"/>
      <c r="H32" s="200">
        <f>IF(H23=0,0,H29/(H23/12))</f>
        <v>4.2087474354718619</v>
      </c>
      <c r="I32" s="200"/>
      <c r="J32" s="200">
        <f>IF(J23=0,0,J29/(J23/12))</f>
        <v>4.6745289669357009</v>
      </c>
      <c r="K32" s="200"/>
      <c r="L32" s="200">
        <f>IF(L23=0,0,L29/(L23/12))</f>
        <v>5.1237517037564624</v>
      </c>
      <c r="M32" s="399"/>
      <c r="N32" s="148"/>
    </row>
    <row r="33" spans="2:14" ht="15" customHeight="1" x14ac:dyDescent="0.2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</row>
    <row r="36" spans="2:14" x14ac:dyDescent="0.2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2:14" x14ac:dyDescent="0.2"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</row>
    <row r="38" spans="2:14" x14ac:dyDescent="0.2"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</row>
    <row r="39" spans="2:14" x14ac:dyDescent="0.2"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</row>
    <row r="40" spans="2:14" x14ac:dyDescent="0.2"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</row>
    <row r="41" spans="2:14" x14ac:dyDescent="0.2">
      <c r="B41" s="1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2"/>
    </row>
    <row r="42" spans="2:14" x14ac:dyDescent="0.2">
      <c r="B42" s="1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2"/>
    </row>
    <row r="43" spans="2:14" x14ac:dyDescent="0.2"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</row>
    <row r="44" spans="2:14" x14ac:dyDescent="0.2"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"/>
    </row>
    <row r="45" spans="2:14" x14ac:dyDescent="0.2">
      <c r="B45" s="1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"/>
    </row>
    <row r="46" spans="2:14" x14ac:dyDescent="0.2"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2"/>
    </row>
    <row r="47" spans="2:14" x14ac:dyDescent="0.2"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</row>
    <row r="48" spans="2:14" x14ac:dyDescent="0.2">
      <c r="B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2"/>
    </row>
    <row r="49" spans="2:14" x14ac:dyDescent="0.2"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</row>
    <row r="50" spans="2:14" x14ac:dyDescent="0.2">
      <c r="B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</row>
    <row r="51" spans="2:14" x14ac:dyDescent="0.2">
      <c r="B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</row>
    <row r="52" spans="2:14" x14ac:dyDescent="0.2"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2"/>
    </row>
    <row r="53" spans="2:14" x14ac:dyDescent="0.2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"/>
    </row>
    <row r="54" spans="2:14" x14ac:dyDescent="0.2">
      <c r="B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2"/>
    </row>
    <row r="55" spans="2:14" x14ac:dyDescent="0.2"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2"/>
    </row>
    <row r="56" spans="2:14" x14ac:dyDescent="0.2">
      <c r="B56" s="1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2"/>
    </row>
    <row r="57" spans="2:14" x14ac:dyDescent="0.2">
      <c r="B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2"/>
    </row>
    <row r="58" spans="2:14" x14ac:dyDescent="0.2">
      <c r="B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2"/>
    </row>
    <row r="59" spans="2:14" x14ac:dyDescent="0.2"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2"/>
    </row>
    <row r="60" spans="2:14" x14ac:dyDescent="0.2">
      <c r="B60" s="1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2"/>
    </row>
    <row r="61" spans="2:14" x14ac:dyDescent="0.2"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2"/>
    </row>
    <row r="62" spans="2:14" x14ac:dyDescent="0.2"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</row>
    <row r="63" spans="2:14" x14ac:dyDescent="0.2"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2"/>
    </row>
    <row r="64" spans="2:14" x14ac:dyDescent="0.2">
      <c r="B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2"/>
    </row>
    <row r="65" spans="2:14" x14ac:dyDescent="0.2"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2"/>
    </row>
    <row r="66" spans="2:14" x14ac:dyDescent="0.2"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2"/>
    </row>
    <row r="67" spans="2:14" x14ac:dyDescent="0.2"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2"/>
    </row>
    <row r="68" spans="2:14" x14ac:dyDescent="0.2">
      <c r="B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2:14" x14ac:dyDescent="0.2">
      <c r="B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2:14" x14ac:dyDescent="0.2"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2:14" x14ac:dyDescent="0.2">
      <c r="B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2:14" x14ac:dyDescent="0.2">
      <c r="B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2"/>
    </row>
    <row r="73" spans="2:14" x14ac:dyDescent="0.2">
      <c r="B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2"/>
    </row>
    <row r="74" spans="2:14" x14ac:dyDescent="0.2">
      <c r="B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2"/>
    </row>
    <row r="75" spans="2:14" x14ac:dyDescent="0.2"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2"/>
    </row>
    <row r="76" spans="2:14" x14ac:dyDescent="0.2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</row>
  </sheetData>
  <mergeCells count="3">
    <mergeCell ref="D5:M5"/>
    <mergeCell ref="B2:N2"/>
    <mergeCell ref="B3:N3"/>
  </mergeCells>
  <pageMargins left="0.7" right="0.7" top="0.75" bottom="0.75" header="0.3" footer="0.3"/>
  <pageSetup scale="50" orientation="landscape" r:id="rId1"/>
  <headerFooter>
    <oddFooter>&amp;L&amp;G</oddFooter>
  </headerFooter>
  <rowBreaks count="1" manualBreakCount="1">
    <brk id="33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82</vt:i4>
      </vt:variant>
    </vt:vector>
  </HeadingPairs>
  <TitlesOfParts>
    <vt:vector size="101" baseType="lpstr">
      <vt:lpstr>Query Data</vt:lpstr>
      <vt:lpstr>Categorical Data</vt:lpstr>
      <vt:lpstr>Revenues</vt:lpstr>
      <vt:lpstr>Expenditures</vt:lpstr>
      <vt:lpstr>Balances</vt:lpstr>
      <vt:lpstr>Admin2</vt:lpstr>
      <vt:lpstr>Scenario Assumptions</vt:lpstr>
      <vt:lpstr>10H</vt:lpstr>
      <vt:lpstr>10P</vt:lpstr>
      <vt:lpstr>MAJOR CAT. BALANCES</vt:lpstr>
      <vt:lpstr>MISC REVENUE</vt:lpstr>
      <vt:lpstr>TaxRates</vt:lpstr>
      <vt:lpstr>UAB</vt:lpstr>
      <vt:lpstr>Enrollment Certified</vt:lpstr>
      <vt:lpstr>Key Assumptions</vt:lpstr>
      <vt:lpstr>Key Results</vt:lpstr>
      <vt:lpstr>Solvency</vt:lpstr>
      <vt:lpstr>Solvency Historical Data</vt:lpstr>
      <vt:lpstr>Tax Rate 12 to 15</vt:lpstr>
      <vt:lpstr>___metadata</vt:lpstr>
      <vt:lpstr>__assumptions</vt:lpstr>
      <vt:lpstr>__author</vt:lpstr>
      <vt:lpstr>__client_name</vt:lpstr>
      <vt:lpstr>__date_created</vt:lpstr>
      <vt:lpstr>__scenario_name</vt:lpstr>
      <vt:lpstr>BalFundRollup</vt:lpstr>
      <vt:lpstr>BalIndex</vt:lpstr>
      <vt:lpstr>BalPeriod</vt:lpstr>
      <vt:lpstr>ExpFundRollup</vt:lpstr>
      <vt:lpstr>ExpIndex</vt:lpstr>
      <vt:lpstr>ExpObject</vt:lpstr>
      <vt:lpstr>ExpPeriod</vt:lpstr>
      <vt:lpstr>in_aid_levy1</vt:lpstr>
      <vt:lpstr>in_authorized_budget_areas1</vt:lpstr>
      <vt:lpstr>in_enroll_change</vt:lpstr>
      <vt:lpstr>in_enrollment_figures</vt:lpstr>
      <vt:lpstr>in_fte_change</vt:lpstr>
      <vt:lpstr>in_isl_educational_improvement</vt:lpstr>
      <vt:lpstr>in_other_aid</vt:lpstr>
      <vt:lpstr>in_rates</vt:lpstr>
      <vt:lpstr>in_retirement_savings</vt:lpstr>
      <vt:lpstr>in_solvency</vt:lpstr>
      <vt:lpstr>in_year_starting_tlc</vt:lpstr>
      <vt:lpstr>out_al_2016</vt:lpstr>
      <vt:lpstr>out_al_2017</vt:lpstr>
      <vt:lpstr>out_al_2018</vt:lpstr>
      <vt:lpstr>out_al_2019</vt:lpstr>
      <vt:lpstr>out_al_2020</vt:lpstr>
      <vt:lpstr>out_al_2021</vt:lpstr>
      <vt:lpstr>out_al_2022</vt:lpstr>
      <vt:lpstr>out_al_2023</vt:lpstr>
      <vt:lpstr>out_allowable_growth_dropout</vt:lpstr>
      <vt:lpstr>out_authorized_budget_areas2</vt:lpstr>
      <vt:lpstr>out_bindings_general_fund_bindings</vt:lpstr>
      <vt:lpstr>out_isl_educational_improvement</vt:lpstr>
      <vt:lpstr>out_positive</vt:lpstr>
      <vt:lpstr>out_rates</vt:lpstr>
      <vt:lpstr>out_report_certified_enrollment</vt:lpstr>
      <vt:lpstr>out_report_fund_balances</vt:lpstr>
      <vt:lpstr>out_report_key_assumptions</vt:lpstr>
      <vt:lpstr>out_report_rates_1</vt:lpstr>
      <vt:lpstr>out_report_served_enrollment</vt:lpstr>
      <vt:lpstr>out_report_solvency_ratio_summary</vt:lpstr>
      <vt:lpstr>out_report_solvency_ratios</vt:lpstr>
      <vt:lpstr>out_report_staffing_changes</vt:lpstr>
      <vt:lpstr>out_report_surtax_rates</vt:lpstr>
      <vt:lpstr>out_report_tax_rate_dollars</vt:lpstr>
      <vt:lpstr>out_report_tax_rates</vt:lpstr>
      <vt:lpstr>out_report_uab</vt:lpstr>
      <vt:lpstr>out_report_uab_changes</vt:lpstr>
      <vt:lpstr>out_served_enrollment</vt:lpstr>
      <vt:lpstr>out_tlc_calc</vt:lpstr>
      <vt:lpstr>out_total_certified</vt:lpstr>
      <vt:lpstr>'10H'!Print_Area</vt:lpstr>
      <vt:lpstr>'10P'!Print_Area</vt:lpstr>
      <vt:lpstr>'Enrollment Certified'!Print_Area</vt:lpstr>
      <vt:lpstr>'Key Assumptions'!Print_Area</vt:lpstr>
      <vt:lpstr>'Key Results'!Print_Area</vt:lpstr>
      <vt:lpstr>'MAJOR CAT. BALANCES'!Print_Area</vt:lpstr>
      <vt:lpstr>'MISC REVENUE'!Print_Area</vt:lpstr>
      <vt:lpstr>Solvency!Print_Area</vt:lpstr>
      <vt:lpstr>TaxRates!Print_Area</vt:lpstr>
      <vt:lpstr>UAB!Print_Area</vt:lpstr>
      <vt:lpstr>'10H'!Print_Titles</vt:lpstr>
      <vt:lpstr>'10P'!Print_Titles</vt:lpstr>
      <vt:lpstr>'Enrollment Certified'!Print_Titles</vt:lpstr>
      <vt:lpstr>'MISC REVENUE'!Print_Titles</vt:lpstr>
      <vt:lpstr>Solvency!Print_Titles</vt:lpstr>
      <vt:lpstr>TaxRates!Print_Titles</vt:lpstr>
      <vt:lpstr>RevDetailSource</vt:lpstr>
      <vt:lpstr>RevFundRollup</vt:lpstr>
      <vt:lpstr>RevIndex</vt:lpstr>
      <vt:lpstr>RevMiscRev</vt:lpstr>
      <vt:lpstr>RevPeriod</vt:lpstr>
      <vt:lpstr>RevSource</vt:lpstr>
      <vt:lpstr>RevSubSource</vt:lpstr>
      <vt:lpstr>xlsx_Aggregate_Balances</vt:lpstr>
      <vt:lpstr>xlsx_Aggregate_Expenditures</vt:lpstr>
      <vt:lpstr>xlsx_Aggregate_Revenue</vt:lpstr>
      <vt:lpstr>xlsx_Categorical_Projects</vt:lpstr>
      <vt:lpstr>xlsx_Categorical_Sources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V1.2</dc:title>
  <dc:creator>WISP Intern</dc:creator>
  <cp:lastModifiedBy>Gary Sinclair</cp:lastModifiedBy>
  <cp:lastPrinted>2017-10-10T00:55:19Z</cp:lastPrinted>
  <dcterms:created xsi:type="dcterms:W3CDTF">2015-09-14T20:57:16Z</dcterms:created>
  <dcterms:modified xsi:type="dcterms:W3CDTF">2017-12-15T21:38:29Z</dcterms:modified>
</cp:coreProperties>
</file>